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4DC482D-4FB5-440C-8B81-04BB3EC78025}"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местоположение'!#REF!</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I26" i="5" l="1"/>
  <c r="G26" i="5"/>
  <c r="B27" i="53" l="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R30" i="15"/>
  <c r="R24" i="15"/>
  <c r="N30" i="15"/>
  <c r="N24" i="15"/>
  <c r="J30" i="15"/>
  <c r="J24" i="15"/>
  <c r="B48" i="52" l="1"/>
  <c r="G129" i="52"/>
  <c r="L30" i="15" l="1"/>
  <c r="M30" i="15"/>
  <c r="O30" i="15"/>
  <c r="P30" i="15"/>
  <c r="Q30" i="15"/>
  <c r="L24" i="15"/>
  <c r="M24" i="15"/>
  <c r="O24" i="15"/>
  <c r="P24" i="15"/>
  <c r="Q24" i="15"/>
  <c r="C50" i="15"/>
  <c r="C57" i="15" s="1"/>
  <c r="C49" i="15"/>
  <c r="C48" i="15"/>
  <c r="C47" i="15"/>
  <c r="C56" i="15" s="1"/>
  <c r="C46" i="15"/>
  <c r="C45" i="15"/>
  <c r="C54" i="15" s="1"/>
  <c r="C44" i="15"/>
  <c r="C30" i="15"/>
  <c r="C52" i="15" s="1"/>
  <c r="C24" i="15"/>
  <c r="B29" i="53" l="1"/>
  <c r="B91" i="53"/>
  <c r="B89" i="53"/>
  <c r="AD26" i="5"/>
  <c r="AD32" i="5" s="1"/>
  <c r="M102" i="52" l="1"/>
  <c r="N102" i="52"/>
  <c r="O102" i="52"/>
  <c r="P102" i="52"/>
  <c r="Q102" i="52"/>
  <c r="R102" i="52"/>
  <c r="S102" i="52"/>
  <c r="T102" i="52"/>
  <c r="U102" i="52"/>
  <c r="V102" i="52"/>
  <c r="W102" i="52"/>
  <c r="X102" i="52"/>
  <c r="Y102" i="52"/>
  <c r="Z102" i="52"/>
  <c r="AA102" i="52"/>
  <c r="AB102" i="52"/>
  <c r="AC102" i="52"/>
  <c r="AD102" i="52"/>
  <c r="AE102" i="52"/>
  <c r="AF102" i="52"/>
  <c r="AG102" i="52"/>
  <c r="AH102" i="52"/>
  <c r="E102" i="52"/>
  <c r="F102" i="52"/>
  <c r="G102" i="52"/>
  <c r="H102" i="52"/>
  <c r="I102" i="52"/>
  <c r="J102" i="52"/>
  <c r="K102" i="52"/>
  <c r="L102" i="52"/>
  <c r="B105" i="53" l="1"/>
  <c r="D26" i="5"/>
  <c r="C91" i="53" l="1"/>
  <c r="B68" i="53"/>
  <c r="B87" i="53" s="1"/>
  <c r="B76" i="53"/>
  <c r="B88" i="53"/>
  <c r="B72" i="53"/>
  <c r="B80" i="53"/>
  <c r="B90" i="53"/>
  <c r="C48" i="52"/>
  <c r="A12" i="53" l="1"/>
  <c r="A5" i="52"/>
  <c r="A9" i="52"/>
  <c r="B66" i="53" l="1"/>
  <c r="B49" i="53"/>
  <c r="B32"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B48" i="15"/>
  <c r="AC47" i="15"/>
  <c r="AC46" i="15"/>
  <c r="AB46" i="15"/>
  <c r="AC45" i="15"/>
  <c r="AC44" i="15"/>
  <c r="AB44" i="15"/>
  <c r="AC43" i="15"/>
  <c r="AB43" i="15"/>
  <c r="AC42" i="15"/>
  <c r="AB42" i="15"/>
  <c r="AC41" i="15"/>
  <c r="AB41" i="15"/>
  <c r="AC40" i="15"/>
  <c r="AB40" i="15"/>
  <c r="AC39" i="15"/>
  <c r="AB39" i="15"/>
  <c r="AC38" i="15"/>
  <c r="AB38" i="15"/>
  <c r="AC37" i="15"/>
  <c r="AB37" i="15"/>
  <c r="AC36" i="15"/>
  <c r="X36" i="15"/>
  <c r="AB36" i="15" s="1"/>
  <c r="AC35" i="15"/>
  <c r="X35" i="15"/>
  <c r="AB35" i="15" s="1"/>
  <c r="AC34" i="15"/>
  <c r="AB34" i="15"/>
  <c r="AC33" i="15"/>
  <c r="AB33" i="15"/>
  <c r="AC32" i="15"/>
  <c r="AB32" i="15"/>
  <c r="AC31" i="15"/>
  <c r="AB31" i="15"/>
  <c r="AA30" i="15"/>
  <c r="Z30" i="15"/>
  <c r="Y30" i="15"/>
  <c r="X30" i="15"/>
  <c r="W30" i="15"/>
  <c r="V30" i="15"/>
  <c r="U30" i="15"/>
  <c r="T30" i="15"/>
  <c r="S30" i="15"/>
  <c r="C81" i="52"/>
  <c r="H30" i="15"/>
  <c r="G30" i="15"/>
  <c r="AC29" i="15"/>
  <c r="AB29" i="15"/>
  <c r="AC28" i="15"/>
  <c r="AB28" i="15"/>
  <c r="AC27" i="15"/>
  <c r="AB27" i="15"/>
  <c r="AC26" i="15"/>
  <c r="AB26" i="15"/>
  <c r="AC25" i="15"/>
  <c r="AB25" i="15"/>
  <c r="AA24" i="15"/>
  <c r="Z24" i="15"/>
  <c r="Y24" i="15"/>
  <c r="X24" i="15"/>
  <c r="W24" i="15"/>
  <c r="V24" i="15"/>
  <c r="U24" i="15"/>
  <c r="T24" i="15"/>
  <c r="S24" i="15"/>
  <c r="H24" i="15"/>
  <c r="G24" i="15"/>
  <c r="B30" i="53" l="1"/>
  <c r="B83" i="53" s="1"/>
  <c r="AC30" i="15"/>
  <c r="C49" i="7" s="1"/>
  <c r="AB30" i="15"/>
  <c r="B81" i="52"/>
  <c r="B25" i="52"/>
  <c r="B42" i="53"/>
  <c r="B59" i="53"/>
  <c r="AC24" i="15"/>
  <c r="C48" i="7" s="1"/>
  <c r="B46" i="53"/>
  <c r="B55" i="53"/>
  <c r="E24" i="15"/>
  <c r="B34" i="53"/>
  <c r="B63" i="53"/>
  <c r="B38" i="53"/>
  <c r="B51" i="53"/>
  <c r="AB24" i="15"/>
  <c r="C89" i="53"/>
  <c r="AB52" i="15"/>
  <c r="AB57" i="15"/>
  <c r="E30" i="15"/>
  <c r="AB45" i="15"/>
  <c r="AB47" i="15"/>
  <c r="AB49" i="15"/>
  <c r="AB50" i="15"/>
  <c r="D67" i="52" l="1"/>
  <c r="D76" i="52" s="1"/>
  <c r="B29" i="52"/>
  <c r="AB54" i="15"/>
  <c r="AB56" i="15"/>
  <c r="R32" i="14" l="1"/>
  <c r="Q32" i="14"/>
  <c r="P26" i="13"/>
  <c r="A15" i="12" l="1"/>
  <c r="A15" i="52" l="1"/>
  <c r="A15" i="53" l="1"/>
  <c r="B21" i="53" s="1"/>
  <c r="A5" i="53"/>
  <c r="S32" i="14" l="1"/>
  <c r="S23" i="12" l="1"/>
  <c r="J23" i="12"/>
  <c r="H23" i="12"/>
  <c r="A9" i="53" l="1"/>
  <c r="A12" i="52" l="1"/>
  <c r="C132" i="52" l="1"/>
  <c r="D132" i="52" s="1"/>
  <c r="E132" i="52" s="1"/>
  <c r="F132" i="52" s="1"/>
  <c r="G132" i="52" s="1"/>
  <c r="H132" i="52" s="1"/>
  <c r="I132" i="52" s="1"/>
  <c r="J132" i="52" s="1"/>
  <c r="K132" i="52" s="1"/>
  <c r="L132" i="52" s="1"/>
  <c r="M132" i="52" s="1"/>
  <c r="N132" i="52" s="1"/>
  <c r="O132" i="52" s="1"/>
  <c r="P132" i="52" s="1"/>
  <c r="Q132" i="52" s="1"/>
  <c r="R132" i="52" s="1"/>
  <c r="S132" i="52" s="1"/>
  <c r="T132" i="52" s="1"/>
  <c r="U132" i="52" s="1"/>
  <c r="V132" i="52" s="1"/>
  <c r="W132" i="52" s="1"/>
  <c r="X132" i="52" s="1"/>
  <c r="Y132" i="52" s="1"/>
  <c r="Z132" i="52" s="1"/>
  <c r="AA132" i="52" s="1"/>
  <c r="AB132" i="52" s="1"/>
  <c r="AC132" i="52" s="1"/>
  <c r="AD132" i="52" s="1"/>
  <c r="AE132" i="52" s="1"/>
  <c r="AF132" i="52" s="1"/>
  <c r="AG132" i="52" s="1"/>
  <c r="AH132" i="52" s="1"/>
  <c r="D130" i="52"/>
  <c r="C49" i="52" s="1"/>
  <c r="D48" i="52"/>
  <c r="C128" i="52"/>
  <c r="D128" i="52" s="1"/>
  <c r="E128" i="52" s="1"/>
  <c r="F128" i="52" s="1"/>
  <c r="G128" i="52" s="1"/>
  <c r="H128" i="52" s="1"/>
  <c r="I128" i="52" s="1"/>
  <c r="J128" i="52" s="1"/>
  <c r="K128" i="52" s="1"/>
  <c r="L128" i="52" s="1"/>
  <c r="M128" i="52" s="1"/>
  <c r="N128" i="52" s="1"/>
  <c r="O128" i="52" s="1"/>
  <c r="P128" i="52" s="1"/>
  <c r="Q128" i="52" s="1"/>
  <c r="R128" i="52" s="1"/>
  <c r="S128" i="52" s="1"/>
  <c r="T128" i="52" s="1"/>
  <c r="U128" i="52" s="1"/>
  <c r="V128" i="52" s="1"/>
  <c r="W128" i="52" s="1"/>
  <c r="X128" i="52" s="1"/>
  <c r="Y128" i="52" s="1"/>
  <c r="Z128" i="52" s="1"/>
  <c r="AA128" i="52" s="1"/>
  <c r="AB128" i="52" s="1"/>
  <c r="AC128" i="52" s="1"/>
  <c r="AD128" i="52" s="1"/>
  <c r="AE128" i="52" s="1"/>
  <c r="AF128" i="52" s="1"/>
  <c r="AG128" i="52" s="1"/>
  <c r="AH128" i="52" s="1"/>
  <c r="G114" i="52"/>
  <c r="G113" i="52"/>
  <c r="I113" i="52" s="1"/>
  <c r="I115" i="52" s="1"/>
  <c r="C104" i="52" s="1"/>
  <c r="C101" i="52" s="1"/>
  <c r="D113" i="52"/>
  <c r="B113" i="52"/>
  <c r="D100" i="52"/>
  <c r="E100" i="52" s="1"/>
  <c r="F100" i="52" s="1"/>
  <c r="G100" i="52" s="1"/>
  <c r="H100" i="52" s="1"/>
  <c r="I100" i="52" s="1"/>
  <c r="J100" i="52" s="1"/>
  <c r="K100" i="52" s="1"/>
  <c r="L100" i="52" s="1"/>
  <c r="M100" i="52" s="1"/>
  <c r="N100" i="52" s="1"/>
  <c r="O100" i="52" s="1"/>
  <c r="P100" i="52" s="1"/>
  <c r="Q100" i="52" s="1"/>
  <c r="R100" i="52" s="1"/>
  <c r="S100" i="52" s="1"/>
  <c r="T100" i="52" s="1"/>
  <c r="U100" i="52" s="1"/>
  <c r="V100" i="52" s="1"/>
  <c r="W100" i="52" s="1"/>
  <c r="X100" i="52" s="1"/>
  <c r="Y100" i="52" s="1"/>
  <c r="Z100" i="52" s="1"/>
  <c r="AA100" i="52" s="1"/>
  <c r="AB100" i="52" s="1"/>
  <c r="AC100" i="52" s="1"/>
  <c r="AD100" i="52" s="1"/>
  <c r="AE100" i="52" s="1"/>
  <c r="AF100" i="52" s="1"/>
  <c r="AG100" i="52" s="1"/>
  <c r="AH100"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52" i="52" s="1"/>
  <c r="B52" i="52"/>
  <c r="B47" i="52"/>
  <c r="B45" i="52"/>
  <c r="A7" i="52"/>
  <c r="C50" i="52" l="1"/>
  <c r="C59" i="52" s="1"/>
  <c r="B50" i="52"/>
  <c r="B59" i="52" s="1"/>
  <c r="B49" i="52"/>
  <c r="G115" i="52"/>
  <c r="D58" i="52"/>
  <c r="D52" i="52" s="1"/>
  <c r="C74" i="52"/>
  <c r="C47" i="52"/>
  <c r="B46" i="52"/>
  <c r="E130" i="52"/>
  <c r="D49" i="52" s="1"/>
  <c r="E48" i="52"/>
  <c r="D104" i="52"/>
  <c r="D101" i="52" s="1"/>
  <c r="C134" i="52"/>
  <c r="D50" i="52" l="1"/>
  <c r="B73" i="52"/>
  <c r="B85" i="52" s="1"/>
  <c r="B80" i="52"/>
  <c r="B66" i="52"/>
  <c r="B68" i="52" s="1"/>
  <c r="B75" i="52" s="1"/>
  <c r="C76" i="52"/>
  <c r="F76" i="52"/>
  <c r="C60" i="52"/>
  <c r="C66" i="52" s="1"/>
  <c r="C68" i="52" s="1"/>
  <c r="E58" i="52"/>
  <c r="F58" i="52" s="1"/>
  <c r="B54" i="52"/>
  <c r="E67" i="52"/>
  <c r="F67" i="52" s="1"/>
  <c r="D74" i="52"/>
  <c r="D47" i="52"/>
  <c r="C80" i="52"/>
  <c r="F130" i="52"/>
  <c r="E49" i="52" s="1"/>
  <c r="E104" i="52"/>
  <c r="E101" i="52" s="1"/>
  <c r="E50" i="52" s="1"/>
  <c r="D133" i="52"/>
  <c r="F48" i="52"/>
  <c r="B55" i="52" l="1"/>
  <c r="B56" i="52" s="1"/>
  <c r="B69" i="52" s="1"/>
  <c r="B77" i="52" s="1"/>
  <c r="E74" i="52"/>
  <c r="E76" i="52"/>
  <c r="E47" i="52"/>
  <c r="E52" i="52"/>
  <c r="D61" i="52"/>
  <c r="D60" i="52" s="1"/>
  <c r="E133" i="52"/>
  <c r="E134" i="52" s="1"/>
  <c r="F104" i="52"/>
  <c r="F101" i="52" s="1"/>
  <c r="G58" i="52"/>
  <c r="F52" i="52"/>
  <c r="F47" i="52"/>
  <c r="F74" i="52"/>
  <c r="H129" i="52"/>
  <c r="G48" i="52" s="1"/>
  <c r="G67" i="52"/>
  <c r="G130" i="52"/>
  <c r="F49" i="52" s="1"/>
  <c r="C75" i="52"/>
  <c r="D134" i="52"/>
  <c r="D59" i="52"/>
  <c r="F50" i="52" l="1"/>
  <c r="B70" i="52"/>
  <c r="B71" i="52" s="1"/>
  <c r="B72" i="52" s="1"/>
  <c r="C53" i="52"/>
  <c r="B82" i="52"/>
  <c r="C73" i="52"/>
  <c r="C85" i="52" s="1"/>
  <c r="D73" i="52"/>
  <c r="D85" i="52" s="1"/>
  <c r="E61" i="52"/>
  <c r="E60" i="52" s="1"/>
  <c r="E59" i="52"/>
  <c r="H130" i="52"/>
  <c r="G49" i="52" s="1"/>
  <c r="F61" i="52"/>
  <c r="F60" i="52" s="1"/>
  <c r="D80" i="52"/>
  <c r="D66" i="52"/>
  <c r="D68" i="52" s="1"/>
  <c r="I129" i="52"/>
  <c r="H48" i="52" s="1"/>
  <c r="G104" i="52"/>
  <c r="G101" i="52" s="1"/>
  <c r="C55" i="52"/>
  <c r="D53" i="52" s="1"/>
  <c r="G76" i="52"/>
  <c r="H67" i="52"/>
  <c r="G74" i="52"/>
  <c r="H58" i="52"/>
  <c r="G47" i="52"/>
  <c r="G52" i="52"/>
  <c r="F133" i="52"/>
  <c r="G50" i="52" l="1"/>
  <c r="G133" i="52"/>
  <c r="G134" i="52" s="1"/>
  <c r="F134" i="52"/>
  <c r="I67" i="52"/>
  <c r="H76" i="52"/>
  <c r="F59" i="52"/>
  <c r="I130" i="52"/>
  <c r="H49" i="52" s="1"/>
  <c r="G61" i="52"/>
  <c r="G60" i="52" s="1"/>
  <c r="H74" i="52"/>
  <c r="I58" i="52"/>
  <c r="H52" i="52"/>
  <c r="H47" i="52"/>
  <c r="D55" i="52"/>
  <c r="E53" i="52" s="1"/>
  <c r="J129" i="52"/>
  <c r="I48" i="52" s="1"/>
  <c r="D75" i="52"/>
  <c r="B78" i="52"/>
  <c r="H104" i="52"/>
  <c r="H101" i="52" s="1"/>
  <c r="E80" i="52"/>
  <c r="E66" i="52"/>
  <c r="E68" i="52" s="1"/>
  <c r="C82" i="52"/>
  <c r="C56" i="52"/>
  <c r="C69" i="52" s="1"/>
  <c r="H50" i="52" l="1"/>
  <c r="E73" i="52"/>
  <c r="E85" i="52" s="1"/>
  <c r="F73" i="52"/>
  <c r="F85" i="52" s="1"/>
  <c r="G59" i="52"/>
  <c r="G66" i="52" s="1"/>
  <c r="G68" i="52" s="1"/>
  <c r="E55" i="52"/>
  <c r="C77" i="52"/>
  <c r="C70" i="52"/>
  <c r="I74" i="52"/>
  <c r="J58" i="52"/>
  <c r="I52" i="52"/>
  <c r="I47" i="52"/>
  <c r="F80" i="52"/>
  <c r="F66" i="52"/>
  <c r="F68" i="52" s="1"/>
  <c r="J67" i="52"/>
  <c r="I76" i="52"/>
  <c r="I104" i="52"/>
  <c r="I101" i="52" s="1"/>
  <c r="H133" i="52"/>
  <c r="D82" i="52"/>
  <c r="D56" i="52"/>
  <c r="D69" i="52" s="1"/>
  <c r="E75" i="52"/>
  <c r="K129" i="52"/>
  <c r="J48" i="52" s="1"/>
  <c r="J130" i="52"/>
  <c r="I49" i="52" s="1"/>
  <c r="H60" i="52"/>
  <c r="I50" i="52" l="1"/>
  <c r="G80" i="52"/>
  <c r="I133" i="52"/>
  <c r="L129" i="52"/>
  <c r="K48" i="52" s="1"/>
  <c r="H59" i="52"/>
  <c r="G75" i="52"/>
  <c r="K67" i="52"/>
  <c r="J76" i="52"/>
  <c r="J104" i="52"/>
  <c r="J101" i="52" s="1"/>
  <c r="F75" i="52"/>
  <c r="K58" i="52"/>
  <c r="J52" i="52"/>
  <c r="J47" i="52"/>
  <c r="J74" i="52"/>
  <c r="E82" i="52"/>
  <c r="E56" i="52"/>
  <c r="E69" i="52" s="1"/>
  <c r="D77" i="52"/>
  <c r="D70" i="52"/>
  <c r="C71" i="52"/>
  <c r="C72" i="52" s="1"/>
  <c r="K130" i="52"/>
  <c r="J49" i="52" s="1"/>
  <c r="I61" i="52"/>
  <c r="I60" i="52" s="1"/>
  <c r="H134" i="52"/>
  <c r="F53" i="52"/>
  <c r="J50" i="52" l="1"/>
  <c r="H79" i="52"/>
  <c r="G73" i="52"/>
  <c r="G85" i="52" s="1"/>
  <c r="H80" i="52"/>
  <c r="H66" i="52"/>
  <c r="H68" i="52" s="1"/>
  <c r="K74" i="52"/>
  <c r="K52" i="52"/>
  <c r="K47" i="52"/>
  <c r="L58" i="52"/>
  <c r="I59" i="52"/>
  <c r="L130" i="52"/>
  <c r="K49" i="52" s="1"/>
  <c r="J60" i="52"/>
  <c r="K76" i="52"/>
  <c r="L67" i="52"/>
  <c r="D71" i="52"/>
  <c r="D72" i="52" s="1"/>
  <c r="K104" i="52"/>
  <c r="K101" i="52" s="1"/>
  <c r="K50" i="52" s="1"/>
  <c r="M129" i="52"/>
  <c r="L48" i="52" s="1"/>
  <c r="F55" i="52"/>
  <c r="J133" i="52"/>
  <c r="C78" i="52"/>
  <c r="E77" i="52"/>
  <c r="E70" i="52"/>
  <c r="I134" i="52"/>
  <c r="I79" i="52" l="1"/>
  <c r="H73" i="52"/>
  <c r="H85" i="52" s="1"/>
  <c r="J59" i="52"/>
  <c r="D78" i="52"/>
  <c r="K133" i="52"/>
  <c r="L76" i="52"/>
  <c r="M67" i="52"/>
  <c r="E71" i="52"/>
  <c r="N129" i="52"/>
  <c r="M48" i="52" s="1"/>
  <c r="I80" i="52"/>
  <c r="I66" i="52"/>
  <c r="I68" i="52" s="1"/>
  <c r="H75" i="52"/>
  <c r="F82" i="52"/>
  <c r="F56" i="52"/>
  <c r="F69" i="52" s="1"/>
  <c r="M130" i="52"/>
  <c r="L49" i="52" s="1"/>
  <c r="K60" i="52"/>
  <c r="G53" i="52"/>
  <c r="L74" i="52"/>
  <c r="M58" i="52"/>
  <c r="L52" i="52"/>
  <c r="L47" i="52"/>
  <c r="L104" i="52"/>
  <c r="L101" i="52" s="1"/>
  <c r="J134" i="52"/>
  <c r="L50" i="52" l="1"/>
  <c r="J66" i="52"/>
  <c r="J68" i="52" s="1"/>
  <c r="J75" i="52" s="1"/>
  <c r="J79" i="52"/>
  <c r="J80" i="52"/>
  <c r="I73" i="52"/>
  <c r="I85" i="52" s="1"/>
  <c r="K59" i="52"/>
  <c r="N67" i="52"/>
  <c r="M76" i="52"/>
  <c r="M104" i="52"/>
  <c r="M101" i="52" s="1"/>
  <c r="O129" i="52"/>
  <c r="N48" i="52" s="1"/>
  <c r="N130" i="52"/>
  <c r="M49" i="52" s="1"/>
  <c r="L60" i="52"/>
  <c r="I75" i="52"/>
  <c r="E78" i="52"/>
  <c r="L133" i="52"/>
  <c r="L134" i="52" s="1"/>
  <c r="M74" i="52"/>
  <c r="N58" i="52"/>
  <c r="M52" i="52"/>
  <c r="M47" i="52"/>
  <c r="G55" i="52"/>
  <c r="H53" i="52" s="1"/>
  <c r="F77" i="52"/>
  <c r="F70" i="52"/>
  <c r="E72" i="52"/>
  <c r="K134" i="52"/>
  <c r="M50" i="52" l="1"/>
  <c r="K79" i="52"/>
  <c r="J73" i="52"/>
  <c r="J85" i="52" s="1"/>
  <c r="K73" i="52"/>
  <c r="K85" i="52" s="1"/>
  <c r="O130" i="52"/>
  <c r="N49" i="52" s="1"/>
  <c r="M60" i="52"/>
  <c r="M133" i="52"/>
  <c r="M134" i="52" s="1"/>
  <c r="N76" i="52"/>
  <c r="O67" i="52"/>
  <c r="H55" i="52"/>
  <c r="G82" i="52"/>
  <c r="G56" i="52"/>
  <c r="G69" i="52" s="1"/>
  <c r="O58" i="52"/>
  <c r="N52" i="52"/>
  <c r="N47" i="52"/>
  <c r="N74" i="52"/>
  <c r="P129" i="52"/>
  <c r="O48" i="52" s="1"/>
  <c r="L59" i="52"/>
  <c r="K80" i="52"/>
  <c r="K66" i="52"/>
  <c r="K68" i="52" s="1"/>
  <c r="N104" i="52"/>
  <c r="N101" i="52" s="1"/>
  <c r="N50" i="52" s="1"/>
  <c r="F71" i="52"/>
  <c r="F72" i="52" s="1"/>
  <c r="L79" i="52" l="1"/>
  <c r="L73" i="52"/>
  <c r="L85" i="52" s="1"/>
  <c r="M59" i="52"/>
  <c r="O76" i="52"/>
  <c r="P67" i="52"/>
  <c r="F78" i="52"/>
  <c r="K75" i="52"/>
  <c r="Q129" i="52"/>
  <c r="P48" i="52" s="1"/>
  <c r="O74" i="52"/>
  <c r="O47" i="52"/>
  <c r="O52" i="52"/>
  <c r="P58" i="52"/>
  <c r="H82" i="52"/>
  <c r="H56" i="52"/>
  <c r="H69" i="52" s="1"/>
  <c r="G77" i="52"/>
  <c r="G70" i="52"/>
  <c r="N133" i="52"/>
  <c r="N134" i="52" s="1"/>
  <c r="P130" i="52"/>
  <c r="O49" i="52" s="1"/>
  <c r="N60" i="52"/>
  <c r="L80" i="52"/>
  <c r="L66" i="52"/>
  <c r="L68" i="52" s="1"/>
  <c r="O104" i="52"/>
  <c r="O101" i="52" s="1"/>
  <c r="N59" i="52"/>
  <c r="I53" i="52"/>
  <c r="O50" i="52" l="1"/>
  <c r="M80" i="52"/>
  <c r="M79" i="52"/>
  <c r="N79" i="52" s="1"/>
  <c r="M73" i="52"/>
  <c r="M85" i="52" s="1"/>
  <c r="M66" i="52"/>
  <c r="M68" i="52" s="1"/>
  <c r="M75" i="52" s="1"/>
  <c r="P104" i="52"/>
  <c r="P101" i="52" s="1"/>
  <c r="L75" i="52"/>
  <c r="G71" i="52"/>
  <c r="G72" i="52" s="1"/>
  <c r="P74" i="52"/>
  <c r="Q58" i="52"/>
  <c r="P52" i="52"/>
  <c r="P47" i="52"/>
  <c r="I55" i="52"/>
  <c r="J53" i="52" s="1"/>
  <c r="Q130" i="52"/>
  <c r="P49" i="52" s="1"/>
  <c r="O61" i="52"/>
  <c r="O60" i="52" s="1"/>
  <c r="R129" i="52"/>
  <c r="Q48" i="52" s="1"/>
  <c r="P76" i="52"/>
  <c r="Q67" i="52"/>
  <c r="N80" i="52"/>
  <c r="N66" i="52"/>
  <c r="N68" i="52" s="1"/>
  <c r="O133" i="52"/>
  <c r="O134" i="52" s="1"/>
  <c r="H77" i="52"/>
  <c r="H70" i="52"/>
  <c r="P50" i="52" l="1"/>
  <c r="N73" i="52"/>
  <c r="N85" i="52" s="1"/>
  <c r="J55" i="52"/>
  <c r="K53" i="52" s="1"/>
  <c r="P133" i="52"/>
  <c r="P134" i="52" s="1"/>
  <c r="Q76" i="52"/>
  <c r="R67" i="52"/>
  <c r="Q74" i="52"/>
  <c r="R58" i="52"/>
  <c r="Q47" i="52"/>
  <c r="Q52" i="52"/>
  <c r="S129" i="52"/>
  <c r="R48" i="52" s="1"/>
  <c r="O59" i="52"/>
  <c r="O79" i="52" s="1"/>
  <c r="I82" i="52"/>
  <c r="I56" i="52"/>
  <c r="I69" i="52" s="1"/>
  <c r="H71" i="52"/>
  <c r="H72" i="52" s="1"/>
  <c r="N75" i="52"/>
  <c r="R130" i="52"/>
  <c r="Q49" i="52" s="1"/>
  <c r="P60" i="52"/>
  <c r="G78" i="52"/>
  <c r="Q104" i="52"/>
  <c r="Q101" i="52" s="1"/>
  <c r="Q50" i="52" l="1"/>
  <c r="O73" i="52"/>
  <c r="O85" i="52" s="1"/>
  <c r="H78" i="52"/>
  <c r="K55" i="52"/>
  <c r="L53" i="52" s="1"/>
  <c r="S130" i="52"/>
  <c r="R49" i="52" s="1"/>
  <c r="Q60" i="52"/>
  <c r="O80" i="52"/>
  <c r="O66" i="52"/>
  <c r="O68" i="52" s="1"/>
  <c r="Q133" i="52"/>
  <c r="Q134" i="52" s="1"/>
  <c r="R104" i="52"/>
  <c r="R101" i="52" s="1"/>
  <c r="R76" i="52"/>
  <c r="S67" i="52"/>
  <c r="S58" i="52"/>
  <c r="R52" i="52"/>
  <c r="R47" i="52"/>
  <c r="R74" i="52"/>
  <c r="P59" i="52"/>
  <c r="P79" i="52" s="1"/>
  <c r="I77" i="52"/>
  <c r="I70" i="52"/>
  <c r="T129" i="52"/>
  <c r="S48" i="52" s="1"/>
  <c r="J82" i="52"/>
  <c r="J56" i="52"/>
  <c r="J69" i="52" s="1"/>
  <c r="R50" i="52" l="1"/>
  <c r="P73" i="52"/>
  <c r="P85" i="52" s="1"/>
  <c r="Q59" i="52"/>
  <c r="Q79" i="52" s="1"/>
  <c r="T130" i="52"/>
  <c r="S49" i="52" s="1"/>
  <c r="R60" i="52"/>
  <c r="S104" i="52"/>
  <c r="S101" i="52" s="1"/>
  <c r="O75" i="52"/>
  <c r="K82" i="52"/>
  <c r="K56" i="52"/>
  <c r="K69" i="52" s="1"/>
  <c r="J77" i="52"/>
  <c r="J70" i="52"/>
  <c r="U129" i="52"/>
  <c r="T48" i="52" s="1"/>
  <c r="P80" i="52"/>
  <c r="P66" i="52"/>
  <c r="P68" i="52" s="1"/>
  <c r="S74" i="52"/>
  <c r="S47" i="52"/>
  <c r="T58" i="52"/>
  <c r="S52" i="52"/>
  <c r="I71" i="52"/>
  <c r="I78" i="52" s="1"/>
  <c r="S76" i="52"/>
  <c r="T67" i="52"/>
  <c r="R133" i="52"/>
  <c r="R134" i="52" s="1"/>
  <c r="L55" i="52"/>
  <c r="M53" i="52" s="1"/>
  <c r="S50" i="52" l="1"/>
  <c r="Q73" i="52"/>
  <c r="Q85" i="52" s="1"/>
  <c r="I72" i="52"/>
  <c r="M55" i="52"/>
  <c r="P75" i="52"/>
  <c r="T76" i="52"/>
  <c r="U67" i="52"/>
  <c r="U130" i="52"/>
  <c r="T49" i="52" s="1"/>
  <c r="S60" i="52"/>
  <c r="S133" i="52"/>
  <c r="S134" i="52" s="1"/>
  <c r="V129" i="52"/>
  <c r="U48" i="52" s="1"/>
  <c r="T104" i="52"/>
  <c r="T101" i="52" s="1"/>
  <c r="T74" i="52"/>
  <c r="U58" i="52"/>
  <c r="T52" i="52"/>
  <c r="T47" i="52"/>
  <c r="J71" i="52"/>
  <c r="J78" i="52" s="1"/>
  <c r="L82" i="52"/>
  <c r="L56" i="52"/>
  <c r="L69" i="52" s="1"/>
  <c r="K77" i="52"/>
  <c r="K70" i="52"/>
  <c r="R59" i="52"/>
  <c r="R79" i="52" s="1"/>
  <c r="Q80" i="52"/>
  <c r="Q66" i="52"/>
  <c r="Q68" i="52" s="1"/>
  <c r="T50" i="52" l="1"/>
  <c r="R73" i="52"/>
  <c r="R85" i="52" s="1"/>
  <c r="U104" i="52"/>
  <c r="U101" i="52" s="1"/>
  <c r="R80" i="52"/>
  <c r="R66" i="52"/>
  <c r="R68" i="52" s="1"/>
  <c r="K71" i="52"/>
  <c r="K78" i="52" s="1"/>
  <c r="U74" i="52"/>
  <c r="V58" i="52"/>
  <c r="U52" i="52"/>
  <c r="U47" i="52"/>
  <c r="W129" i="52"/>
  <c r="V48" i="52" s="1"/>
  <c r="V130" i="52"/>
  <c r="U49" i="52" s="1"/>
  <c r="T60" i="52"/>
  <c r="U76" i="52"/>
  <c r="V67" i="52"/>
  <c r="M82" i="52"/>
  <c r="M56" i="52"/>
  <c r="M69" i="52" s="1"/>
  <c r="L77" i="52"/>
  <c r="L70" i="52"/>
  <c r="Q75" i="52"/>
  <c r="J72" i="52"/>
  <c r="S59" i="52"/>
  <c r="S79" i="52" s="1"/>
  <c r="T133" i="52"/>
  <c r="N53" i="52"/>
  <c r="U50" i="52" l="1"/>
  <c r="K72" i="52"/>
  <c r="N55" i="52"/>
  <c r="O53" i="52" s="1"/>
  <c r="M77" i="52"/>
  <c r="M70" i="52"/>
  <c r="T59" i="52"/>
  <c r="T79" i="52" s="1"/>
  <c r="U133" i="52"/>
  <c r="L71" i="52"/>
  <c r="L78" i="52" s="1"/>
  <c r="V76" i="52"/>
  <c r="W67" i="52"/>
  <c r="W58" i="52"/>
  <c r="V52" i="52"/>
  <c r="V47" i="52"/>
  <c r="V74" i="52"/>
  <c r="S80" i="52"/>
  <c r="S66" i="52"/>
  <c r="S68" i="52" s="1"/>
  <c r="X129" i="52"/>
  <c r="W48" i="52" s="1"/>
  <c r="R75" i="52"/>
  <c r="T134" i="52"/>
  <c r="W130" i="52"/>
  <c r="V49" i="52" s="1"/>
  <c r="U61" i="52"/>
  <c r="U60" i="52" s="1"/>
  <c r="V104" i="52"/>
  <c r="V101" i="52" s="1"/>
  <c r="V50" i="52" s="1"/>
  <c r="S73" i="52" l="1"/>
  <c r="S85" i="52" s="1"/>
  <c r="U59" i="52"/>
  <c r="U66" i="52" s="1"/>
  <c r="U68" i="52" s="1"/>
  <c r="L72" i="52"/>
  <c r="O55" i="52"/>
  <c r="P53" i="52" s="1"/>
  <c r="W104" i="52"/>
  <c r="W101" i="52" s="1"/>
  <c r="V133" i="52"/>
  <c r="V134" i="52" s="1"/>
  <c r="W74" i="52"/>
  <c r="X58" i="52"/>
  <c r="W47" i="52"/>
  <c r="W52" i="52"/>
  <c r="T80" i="52"/>
  <c r="T66" i="52"/>
  <c r="T68" i="52" s="1"/>
  <c r="S75" i="52"/>
  <c r="X130" i="52"/>
  <c r="W49" i="52" s="1"/>
  <c r="V60" i="52"/>
  <c r="Y129" i="52"/>
  <c r="X48" i="52" s="1"/>
  <c r="W76" i="52"/>
  <c r="X67" i="52"/>
  <c r="N82" i="52"/>
  <c r="N56" i="52"/>
  <c r="N69" i="52" s="1"/>
  <c r="U134" i="52"/>
  <c r="M71" i="52"/>
  <c r="M78" i="52" s="1"/>
  <c r="W50" i="52" l="1"/>
  <c r="U79" i="52"/>
  <c r="T73" i="52"/>
  <c r="T85" i="52" s="1"/>
  <c r="U73" i="52"/>
  <c r="U85" i="52" s="1"/>
  <c r="U80" i="52"/>
  <c r="V59" i="52"/>
  <c r="V80" i="52" s="1"/>
  <c r="M72" i="52"/>
  <c r="Y130" i="52"/>
  <c r="X49" i="52" s="1"/>
  <c r="W60" i="52"/>
  <c r="N77" i="52"/>
  <c r="N70" i="52"/>
  <c r="T75" i="52"/>
  <c r="X74" i="52"/>
  <c r="Y58" i="52"/>
  <c r="X52" i="52"/>
  <c r="X47" i="52"/>
  <c r="P55" i="52"/>
  <c r="Q53" i="52" s="1"/>
  <c r="Z129" i="52"/>
  <c r="Y48" i="52" s="1"/>
  <c r="X104" i="52"/>
  <c r="X101" i="52" s="1"/>
  <c r="Y67" i="52"/>
  <c r="X76" i="52"/>
  <c r="W133" i="52"/>
  <c r="W134" i="52" s="1"/>
  <c r="U75" i="52"/>
  <c r="O82" i="52"/>
  <c r="O56" i="52"/>
  <c r="O69" i="52" s="1"/>
  <c r="X50" i="52" l="1"/>
  <c r="V79" i="52"/>
  <c r="V73" i="52"/>
  <c r="V85" i="52" s="1"/>
  <c r="V66" i="52"/>
  <c r="V68" i="52" s="1"/>
  <c r="V75" i="52" s="1"/>
  <c r="W59" i="52"/>
  <c r="O77" i="52"/>
  <c r="O70" i="52"/>
  <c r="X133" i="52"/>
  <c r="X134" i="52" s="1"/>
  <c r="Y76" i="52"/>
  <c r="Z67" i="52"/>
  <c r="AA129" i="52"/>
  <c r="Z48" i="52" s="1"/>
  <c r="Y74" i="52"/>
  <c r="Z58" i="52"/>
  <c r="Y52" i="52"/>
  <c r="Y47" i="52"/>
  <c r="N71" i="52"/>
  <c r="N78" i="52" s="1"/>
  <c r="Z130" i="52"/>
  <c r="Y49" i="52" s="1"/>
  <c r="X60" i="52"/>
  <c r="Y104" i="52"/>
  <c r="Y101" i="52" s="1"/>
  <c r="P82" i="52"/>
  <c r="P56" i="52"/>
  <c r="P69" i="52" s="1"/>
  <c r="Q55" i="52"/>
  <c r="R53" i="52" s="1"/>
  <c r="Y50" i="52" l="1"/>
  <c r="W66" i="52"/>
  <c r="W68" i="52" s="1"/>
  <c r="W75" i="52" s="1"/>
  <c r="W79" i="52"/>
  <c r="W73" i="52"/>
  <c r="W85" i="52" s="1"/>
  <c r="X59" i="52"/>
  <c r="X66" i="52" s="1"/>
  <c r="X68" i="52" s="1"/>
  <c r="W80" i="52"/>
  <c r="R55" i="52"/>
  <c r="P77" i="52"/>
  <c r="P70" i="52"/>
  <c r="N72" i="52"/>
  <c r="AB129" i="52"/>
  <c r="AA48" i="52" s="1"/>
  <c r="Y133" i="52"/>
  <c r="Z76" i="52"/>
  <c r="AA67" i="52"/>
  <c r="O71" i="52"/>
  <c r="O78" i="52" s="1"/>
  <c r="Z104" i="52"/>
  <c r="Z101" i="52" s="1"/>
  <c r="AA58" i="52"/>
  <c r="Z52" i="52"/>
  <c r="Z47" i="52"/>
  <c r="Z74" i="52"/>
  <c r="Q56" i="52"/>
  <c r="Q69" i="52" s="1"/>
  <c r="Q82" i="52"/>
  <c r="AA130" i="52"/>
  <c r="Z49" i="52" s="1"/>
  <c r="Y60" i="52"/>
  <c r="Z50" i="52" l="1"/>
  <c r="X79" i="52"/>
  <c r="X80" i="52"/>
  <c r="AA104" i="52"/>
  <c r="AA101" i="52" s="1"/>
  <c r="Z133" i="52"/>
  <c r="Z134" i="52" s="1"/>
  <c r="R82" i="52"/>
  <c r="R56" i="52"/>
  <c r="R69" i="52" s="1"/>
  <c r="AB130" i="52"/>
  <c r="AA49" i="52" s="1"/>
  <c r="Z60" i="52"/>
  <c r="Y134" i="52"/>
  <c r="P71" i="52"/>
  <c r="P78" i="52" s="1"/>
  <c r="Q77" i="52"/>
  <c r="Q70" i="52"/>
  <c r="AA74" i="52"/>
  <c r="AB58" i="52"/>
  <c r="AA52" i="52"/>
  <c r="AA47" i="52"/>
  <c r="O72" i="52"/>
  <c r="X75" i="52"/>
  <c r="Y59" i="52"/>
  <c r="AA76" i="52"/>
  <c r="AB67" i="52"/>
  <c r="AC129" i="52"/>
  <c r="AB48" i="52" s="1"/>
  <c r="S53" i="52"/>
  <c r="AA50" i="52" l="1"/>
  <c r="Y79" i="52"/>
  <c r="Y73" i="52"/>
  <c r="Y85" i="52" s="1"/>
  <c r="X73" i="52"/>
  <c r="X85" i="52" s="1"/>
  <c r="Z59" i="52"/>
  <c r="Z66" i="52" s="1"/>
  <c r="Z68" i="52" s="1"/>
  <c r="P72" i="52"/>
  <c r="Y80" i="52"/>
  <c r="Y66" i="52"/>
  <c r="Y68" i="52" s="1"/>
  <c r="Q71" i="52"/>
  <c r="Q78" i="52" s="1"/>
  <c r="AB76" i="52"/>
  <c r="AC67" i="52"/>
  <c r="AA133" i="52"/>
  <c r="AA134" i="52" s="1"/>
  <c r="AD129" i="52"/>
  <c r="AC48" i="52" s="1"/>
  <c r="AB74" i="52"/>
  <c r="AC58" i="52"/>
  <c r="AB52" i="52"/>
  <c r="AB47" i="52"/>
  <c r="AC130" i="52"/>
  <c r="AB49" i="52" s="1"/>
  <c r="AA61" i="52"/>
  <c r="AA60" i="52" s="1"/>
  <c r="R77" i="52"/>
  <c r="R70" i="52"/>
  <c r="S55" i="52"/>
  <c r="T53" i="52" s="1"/>
  <c r="AB104" i="52"/>
  <c r="AB101" i="52" s="1"/>
  <c r="AB50" i="52" l="1"/>
  <c r="Z80" i="52"/>
  <c r="Z79" i="52"/>
  <c r="Z73" i="52"/>
  <c r="Z85" i="52" s="1"/>
  <c r="Q72" i="52"/>
  <c r="AC104" i="52"/>
  <c r="AC101" i="52" s="1"/>
  <c r="AC50" i="52" s="1"/>
  <c r="AA59" i="52"/>
  <c r="R71" i="52"/>
  <c r="R78" i="52" s="1"/>
  <c r="Z75" i="52"/>
  <c r="S82" i="52"/>
  <c r="S56" i="52"/>
  <c r="S69" i="52" s="1"/>
  <c r="AC74" i="52"/>
  <c r="AD58" i="52"/>
  <c r="AC52" i="52"/>
  <c r="AC47" i="52"/>
  <c r="AB133" i="52"/>
  <c r="AC76" i="52"/>
  <c r="AD67" i="52"/>
  <c r="AE129" i="52"/>
  <c r="AD48" i="52" s="1"/>
  <c r="T55" i="52"/>
  <c r="U53" i="52" s="1"/>
  <c r="AD130" i="52"/>
  <c r="AC49" i="52" s="1"/>
  <c r="AB60" i="52"/>
  <c r="Y75" i="52"/>
  <c r="AA79" i="52" l="1"/>
  <c r="AB59" i="52"/>
  <c r="AB66" i="52" s="1"/>
  <c r="AB68" i="52" s="1"/>
  <c r="R72" i="52"/>
  <c r="U55" i="52"/>
  <c r="V53" i="52" s="1"/>
  <c r="AC133" i="52"/>
  <c r="AC134" i="52" s="1"/>
  <c r="AB80" i="52"/>
  <c r="T82" i="52"/>
  <c r="T56" i="52"/>
  <c r="T69" i="52" s="1"/>
  <c r="AD76" i="52"/>
  <c r="AE67" i="52"/>
  <c r="S77" i="52"/>
  <c r="S70" i="52"/>
  <c r="AE130" i="52"/>
  <c r="AD49" i="52" s="1"/>
  <c r="AC60" i="52"/>
  <c r="AF129" i="52"/>
  <c r="AE48" i="52" s="1"/>
  <c r="AB134" i="52"/>
  <c r="AE58" i="52"/>
  <c r="AD52" i="52"/>
  <c r="AD47" i="52"/>
  <c r="AD74" i="52"/>
  <c r="AA80" i="52"/>
  <c r="AA66" i="52"/>
  <c r="AA68" i="52" s="1"/>
  <c r="AD104" i="52"/>
  <c r="AD101" i="52" s="1"/>
  <c r="AD50" i="52" s="1"/>
  <c r="AB79" i="52" l="1"/>
  <c r="AA73" i="52"/>
  <c r="AA85" i="52" s="1"/>
  <c r="AB73" i="52"/>
  <c r="AB85" i="52" s="1"/>
  <c r="AC59" i="52"/>
  <c r="AC80" i="52" s="1"/>
  <c r="V55" i="52"/>
  <c r="W53" i="52" s="1"/>
  <c r="AF130" i="52"/>
  <c r="AE49" i="52" s="1"/>
  <c r="AD60" i="52"/>
  <c r="AE76" i="52"/>
  <c r="AF67" i="52"/>
  <c r="S71" i="52"/>
  <c r="S78" i="52" s="1"/>
  <c r="AB75" i="52"/>
  <c r="AD133" i="52"/>
  <c r="AD134" i="52" s="1"/>
  <c r="U82" i="52"/>
  <c r="U56" i="52"/>
  <c r="U69" i="52" s="1"/>
  <c r="AA75" i="52"/>
  <c r="AG129" i="52"/>
  <c r="AF48" i="52" s="1"/>
  <c r="T77" i="52"/>
  <c r="T70" i="52"/>
  <c r="AE104" i="52"/>
  <c r="AE101" i="52" s="1"/>
  <c r="AE74" i="52"/>
  <c r="AE47" i="52"/>
  <c r="AF58" i="52"/>
  <c r="AE52" i="52"/>
  <c r="AE50" i="52" l="1"/>
  <c r="AC79" i="52"/>
  <c r="AC73" i="52"/>
  <c r="AC85" i="52" s="1"/>
  <c r="AD59" i="52"/>
  <c r="AD80" i="52" s="1"/>
  <c r="AC66" i="52"/>
  <c r="AC68" i="52" s="1"/>
  <c r="AC75" i="52" s="1"/>
  <c r="S72" i="52"/>
  <c r="AF74" i="52"/>
  <c r="AG58" i="52"/>
  <c r="AF52" i="52"/>
  <c r="AF47" i="52"/>
  <c r="AF104" i="52"/>
  <c r="AF101" i="52" s="1"/>
  <c r="AF50" i="52" s="1"/>
  <c r="W55" i="52"/>
  <c r="T71" i="52"/>
  <c r="T78" i="52" s="1"/>
  <c r="AE133" i="52"/>
  <c r="AE134" i="52" s="1"/>
  <c r="U77" i="52"/>
  <c r="U70" i="52"/>
  <c r="AG130" i="52"/>
  <c r="AF49" i="52" s="1"/>
  <c r="AE60" i="52"/>
  <c r="AH129" i="52"/>
  <c r="AG48" i="52" s="1"/>
  <c r="AF76" i="52"/>
  <c r="AG67" i="52"/>
  <c r="V82" i="52"/>
  <c r="V56" i="52"/>
  <c r="V69" i="52" s="1"/>
  <c r="AD66" i="52" l="1"/>
  <c r="AD68" i="52" s="1"/>
  <c r="AD75" i="52" s="1"/>
  <c r="AD79" i="52"/>
  <c r="AD73" i="52"/>
  <c r="AD85" i="52" s="1"/>
  <c r="T72" i="52"/>
  <c r="W82" i="52"/>
  <c r="W56" i="52"/>
  <c r="W69" i="52" s="1"/>
  <c r="V77" i="52"/>
  <c r="V70" i="52"/>
  <c r="X53" i="52"/>
  <c r="AG76" i="52"/>
  <c r="U71" i="52"/>
  <c r="U78" i="52" s="1"/>
  <c r="AE59" i="52"/>
  <c r="AG74" i="52"/>
  <c r="AG47" i="52"/>
  <c r="AG52" i="52"/>
  <c r="AH130" i="52"/>
  <c r="AG49" i="52" s="1"/>
  <c r="AF60" i="52"/>
  <c r="AF133" i="52"/>
  <c r="AG104" i="52"/>
  <c r="AG101" i="52" s="1"/>
  <c r="AF59" i="52"/>
  <c r="AG50" i="52" l="1"/>
  <c r="AE79" i="52"/>
  <c r="AF79" i="52" s="1"/>
  <c r="AG133" i="52"/>
  <c r="AG134" i="52" s="1"/>
  <c r="AE80" i="52"/>
  <c r="AE66" i="52"/>
  <c r="AE68" i="52" s="1"/>
  <c r="AF134" i="52"/>
  <c r="U72" i="52"/>
  <c r="V71" i="52"/>
  <c r="V78" i="52" s="1"/>
  <c r="AG61" i="52"/>
  <c r="AG60" i="52" s="1"/>
  <c r="X55" i="52"/>
  <c r="Y53" i="52" s="1"/>
  <c r="AF80" i="52"/>
  <c r="AF66" i="52"/>
  <c r="AF68" i="52" s="1"/>
  <c r="AH104" i="52"/>
  <c r="AH101" i="52" s="1"/>
  <c r="W77" i="52"/>
  <c r="W70" i="52"/>
  <c r="AE73" i="52" l="1"/>
  <c r="AE85" i="52" s="1"/>
  <c r="AF73" i="52"/>
  <c r="AF85" i="52" s="1"/>
  <c r="W71" i="52"/>
  <c r="W78" i="52" s="1"/>
  <c r="AG59" i="52"/>
  <c r="AG79" i="52" s="1"/>
  <c r="Y55" i="52"/>
  <c r="AF75" i="52"/>
  <c r="X82" i="52"/>
  <c r="X56" i="52"/>
  <c r="X69" i="52" s="1"/>
  <c r="V72" i="52"/>
  <c r="AE75" i="52"/>
  <c r="AH133" i="52"/>
  <c r="AH134" i="52" s="1"/>
  <c r="AG73" i="52" l="1"/>
  <c r="AG85" i="52" s="1"/>
  <c r="W72" i="52"/>
  <c r="AG80" i="52"/>
  <c r="AG66" i="52"/>
  <c r="AG68" i="52" s="1"/>
  <c r="Y82" i="52"/>
  <c r="Y56" i="52"/>
  <c r="Y69" i="52" s="1"/>
  <c r="Z53" i="52"/>
  <c r="X77" i="52"/>
  <c r="X70" i="52"/>
  <c r="Y77" i="52" l="1"/>
  <c r="Y70" i="52"/>
  <c r="X71" i="52"/>
  <c r="X78" i="52" s="1"/>
  <c r="Z55" i="52"/>
  <c r="AG75" i="52"/>
  <c r="X72" i="52" l="1"/>
  <c r="Z82" i="52"/>
  <c r="Z56" i="52"/>
  <c r="Z69" i="52" s="1"/>
  <c r="AA53" i="52"/>
  <c r="Y71" i="52"/>
  <c r="Y78" i="52" s="1"/>
  <c r="Z77" i="52" l="1"/>
  <c r="Z70" i="52"/>
  <c r="Y72" i="52"/>
  <c r="AA55" i="52"/>
  <c r="AA82" i="52" l="1"/>
  <c r="AA56" i="52"/>
  <c r="AA69" i="52" s="1"/>
  <c r="AB53" i="52"/>
  <c r="Z71" i="52"/>
  <c r="Z78" i="52" s="1"/>
  <c r="AA77" i="52" l="1"/>
  <c r="AA70" i="52"/>
  <c r="AB55" i="52"/>
  <c r="AC53" i="52" s="1"/>
  <c r="Z72" i="52"/>
  <c r="AC55" i="52" l="1"/>
  <c r="AB82" i="52"/>
  <c r="AB56" i="52"/>
  <c r="AB69" i="52" s="1"/>
  <c r="AA71" i="52"/>
  <c r="AA78" i="52" s="1"/>
  <c r="AA72" i="52" l="1"/>
  <c r="AC82" i="52"/>
  <c r="AC56" i="52"/>
  <c r="AC69" i="52" s="1"/>
  <c r="AD53" i="52"/>
  <c r="AB77" i="52"/>
  <c r="AB70" i="52"/>
  <c r="AC77" i="52" l="1"/>
  <c r="AC70" i="52"/>
  <c r="AD55" i="52"/>
  <c r="AE53" i="52" s="1"/>
  <c r="AB71" i="52"/>
  <c r="AB78" i="52" s="1"/>
  <c r="AB72" i="52" l="1"/>
  <c r="AE55" i="52"/>
  <c r="AD82" i="52"/>
  <c r="AD56" i="52"/>
  <c r="AD69" i="52" s="1"/>
  <c r="AC71" i="52"/>
  <c r="AC78" i="52" s="1"/>
  <c r="AC72" i="52" l="1"/>
  <c r="AE82" i="52"/>
  <c r="AE56" i="52"/>
  <c r="AE69" i="52" s="1"/>
  <c r="AD77" i="52"/>
  <c r="AD70" i="52"/>
  <c r="AF53" i="52"/>
  <c r="AD71" i="52" l="1"/>
  <c r="AD78" i="52" s="1"/>
  <c r="AE77" i="52"/>
  <c r="AE70" i="52"/>
  <c r="AF55" i="52"/>
  <c r="AG53" i="52" s="1"/>
  <c r="AG55" i="52" l="1"/>
  <c r="AE71" i="52"/>
  <c r="AE78" i="52" s="1"/>
  <c r="AF82" i="52"/>
  <c r="AF56" i="52"/>
  <c r="AF69" i="52" s="1"/>
  <c r="AD72" i="52"/>
  <c r="AE72" i="52" l="1"/>
  <c r="AF77" i="52"/>
  <c r="AF70" i="52"/>
  <c r="AG82" i="52"/>
  <c r="AG56" i="52"/>
  <c r="AG69" i="52" s="1"/>
  <c r="AF71" i="52" l="1"/>
  <c r="AF78" i="52" s="1"/>
  <c r="AG77" i="52"/>
  <c r="AG70" i="52"/>
  <c r="AG71" i="52" l="1"/>
  <c r="AG78" i="52" s="1"/>
  <c r="AF72" i="52"/>
  <c r="AG72" i="52" l="1"/>
  <c r="A8" i="17" l="1"/>
  <c r="E9" i="14"/>
  <c r="A15" i="5" l="1"/>
  <c r="A12" i="5"/>
  <c r="A9" i="5"/>
  <c r="A5" i="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8" i="52" s="1"/>
  <c r="C83" i="52"/>
  <c r="C86" i="52" s="1"/>
  <c r="E83" i="52"/>
  <c r="E86" i="52" s="1"/>
  <c r="B84" i="52" l="1"/>
  <c r="B89" i="52" s="1"/>
  <c r="F83" i="52"/>
  <c r="F86" i="52" s="1"/>
  <c r="B86" i="52"/>
  <c r="B87" i="52" s="1"/>
  <c r="B90" i="52" s="1"/>
  <c r="H83" i="52"/>
  <c r="H86" i="52" s="1"/>
  <c r="C84" i="52"/>
  <c r="D83" i="52"/>
  <c r="E84" i="52" s="1"/>
  <c r="C88" i="52"/>
  <c r="C87" i="52" l="1"/>
  <c r="C90" i="52" s="1"/>
  <c r="C89" i="52"/>
  <c r="F88" i="52"/>
  <c r="D84" i="52"/>
  <c r="D89" i="52" s="1"/>
  <c r="D86" i="52"/>
  <c r="F84" i="52"/>
  <c r="F89" i="52" s="1"/>
  <c r="D88" i="52"/>
  <c r="E88" i="52"/>
  <c r="G83" i="52"/>
  <c r="H84" i="52" s="1"/>
  <c r="E89" i="52" l="1"/>
  <c r="G88" i="52"/>
  <c r="H88" i="52"/>
  <c r="G86" i="52"/>
  <c r="H87" i="52" s="1"/>
  <c r="G84" i="52"/>
  <c r="G89" i="52" s="1"/>
  <c r="I83" i="52"/>
  <c r="D87" i="52"/>
  <c r="D90" i="52" s="1"/>
  <c r="E87" i="52"/>
  <c r="F87" i="52"/>
  <c r="G87" i="52" l="1"/>
  <c r="H90" i="52" s="1"/>
  <c r="E90" i="52"/>
  <c r="H89" i="52"/>
  <c r="F90" i="52"/>
  <c r="I86" i="52"/>
  <c r="I88" i="52"/>
  <c r="J83" i="52"/>
  <c r="J84" i="52" s="1"/>
  <c r="L83" i="52"/>
  <c r="L86" i="52" s="1"/>
  <c r="I84" i="52"/>
  <c r="I89" i="52" s="1"/>
  <c r="G90" i="52" l="1"/>
  <c r="J89" i="52"/>
  <c r="K83" i="52"/>
  <c r="L88" i="52" s="1"/>
  <c r="J86" i="52"/>
  <c r="J88" i="52"/>
  <c r="I87" i="52"/>
  <c r="I90" i="52" s="1"/>
  <c r="K88" i="52" l="1"/>
  <c r="L84" i="52"/>
  <c r="J87" i="52"/>
  <c r="J90" i="52" s="1"/>
  <c r="M83" i="52"/>
  <c r="K86" i="52"/>
  <c r="K84" i="52"/>
  <c r="K89" i="52" s="1"/>
  <c r="N83" i="52" l="1"/>
  <c r="L89" i="52"/>
  <c r="G28" i="52" s="1"/>
  <c r="M86" i="52"/>
  <c r="M84" i="52"/>
  <c r="M89" i="52" s="1"/>
  <c r="M88" i="52"/>
  <c r="L87" i="52"/>
  <c r="O83" i="52"/>
  <c r="P83" i="52"/>
  <c r="K87" i="52"/>
  <c r="K90" i="52" s="1"/>
  <c r="P86" i="52" l="1"/>
  <c r="P88" i="52"/>
  <c r="P84" i="52"/>
  <c r="M87" i="52"/>
  <c r="O86" i="52"/>
  <c r="O88" i="52"/>
  <c r="N86" i="52"/>
  <c r="N87" i="52" s="1"/>
  <c r="N84" i="52"/>
  <c r="N89" i="52" s="1"/>
  <c r="N88" i="52"/>
  <c r="L90" i="52"/>
  <c r="G29" i="52" s="1"/>
  <c r="O84" i="52"/>
  <c r="M90" i="52" l="1"/>
  <c r="G30" i="52"/>
  <c r="O89" i="52"/>
  <c r="N90" i="52"/>
  <c r="O87" i="52"/>
  <c r="O90" i="52" s="1"/>
  <c r="P89" i="52"/>
  <c r="Q83" i="52"/>
  <c r="P87" i="52"/>
  <c r="P90" i="52" l="1"/>
  <c r="R83" i="52"/>
  <c r="Q86" i="52"/>
  <c r="Q87" i="52" s="1"/>
  <c r="Q90" i="52" s="1"/>
  <c r="Q84" i="52"/>
  <c r="Q89" i="52" s="1"/>
  <c r="Q88" i="52"/>
  <c r="S83" i="52" l="1"/>
  <c r="R86" i="52"/>
  <c r="R87" i="52" s="1"/>
  <c r="R90" i="52" s="1"/>
  <c r="R88" i="52"/>
  <c r="R84" i="52"/>
  <c r="R89" i="52" s="1"/>
  <c r="T83" i="52" l="1"/>
  <c r="S86" i="52"/>
  <c r="S87" i="52" s="1"/>
  <c r="S90" i="52" s="1"/>
  <c r="S88" i="52"/>
  <c r="S84" i="52"/>
  <c r="S89" i="52" s="1"/>
  <c r="U83" i="52" l="1"/>
  <c r="T86" i="52"/>
  <c r="T87" i="52" s="1"/>
  <c r="T90" i="52" s="1"/>
  <c r="T88" i="52"/>
  <c r="T84" i="52"/>
  <c r="T89" i="52" s="1"/>
  <c r="V83" i="52" l="1"/>
  <c r="U86" i="52"/>
  <c r="U87" i="52" s="1"/>
  <c r="U90" i="52" s="1"/>
  <c r="U88" i="52"/>
  <c r="U84" i="52"/>
  <c r="U89" i="52" s="1"/>
  <c r="W83" i="52" l="1"/>
  <c r="V86" i="52"/>
  <c r="V87" i="52" s="1"/>
  <c r="V90" i="52" s="1"/>
  <c r="V84" i="52"/>
  <c r="V89" i="52" s="1"/>
  <c r="V88" i="52"/>
  <c r="X83" i="52" l="1"/>
  <c r="W86" i="52"/>
  <c r="W87" i="52" s="1"/>
  <c r="W90" i="52" s="1"/>
  <c r="W84" i="52"/>
  <c r="W89" i="52" s="1"/>
  <c r="W88" i="52"/>
  <c r="Y83" i="52" l="1"/>
  <c r="X86" i="52"/>
  <c r="X87" i="52" s="1"/>
  <c r="X90" i="52" s="1"/>
  <c r="X84" i="52"/>
  <c r="X89" i="52" s="1"/>
  <c r="X88" i="52"/>
  <c r="Z83" i="52" l="1"/>
  <c r="Y86" i="52"/>
  <c r="Y87" i="52" s="1"/>
  <c r="Y90" i="52" s="1"/>
  <c r="Y88" i="52"/>
  <c r="Y84" i="52"/>
  <c r="Y89" i="52" s="1"/>
  <c r="AA83" i="52" l="1"/>
  <c r="Z86" i="52"/>
  <c r="Z87" i="52" s="1"/>
  <c r="Z90" i="52" s="1"/>
  <c r="Z84" i="52"/>
  <c r="Z89" i="52" s="1"/>
  <c r="Z88" i="52"/>
  <c r="AB83" i="52" l="1"/>
  <c r="AA86" i="52"/>
  <c r="AA87" i="52" s="1"/>
  <c r="AA90" i="52" s="1"/>
  <c r="AA84" i="52"/>
  <c r="AA89" i="52" s="1"/>
  <c r="AA88" i="52"/>
  <c r="AC83" i="52" l="1"/>
  <c r="AB86" i="52"/>
  <c r="AB87" i="52" s="1"/>
  <c r="AB90" i="52" s="1"/>
  <c r="AB88" i="52"/>
  <c r="AB84" i="52"/>
  <c r="AB89" i="52" s="1"/>
  <c r="AD83" i="52" l="1"/>
  <c r="AC86" i="52"/>
  <c r="AC87" i="52" s="1"/>
  <c r="AC90" i="52" s="1"/>
  <c r="AC84" i="52"/>
  <c r="AC89" i="52" s="1"/>
  <c r="AC88" i="52"/>
  <c r="AE83" i="52" l="1"/>
  <c r="AD86" i="52"/>
  <c r="AD87" i="52" s="1"/>
  <c r="AD90" i="52" s="1"/>
  <c r="AD84" i="52"/>
  <c r="AD89" i="52" s="1"/>
  <c r="AD88" i="52"/>
  <c r="AF83" i="52" l="1"/>
  <c r="AE86" i="52"/>
  <c r="AE87" i="52" s="1"/>
  <c r="AE90" i="52" s="1"/>
  <c r="AE84" i="52"/>
  <c r="AE89" i="52" s="1"/>
  <c r="AE88" i="52"/>
  <c r="AG83" i="52" l="1"/>
  <c r="AF86" i="52"/>
  <c r="AF87" i="52" s="1"/>
  <c r="AF90" i="52" s="1"/>
  <c r="AF88" i="52"/>
  <c r="AF84" i="52"/>
  <c r="AF89" i="52" s="1"/>
  <c r="AG86" i="52" l="1"/>
  <c r="AG87" i="52" s="1"/>
  <c r="AG90" i="52" s="1"/>
  <c r="AG84" i="52"/>
  <c r="AG89" i="52" s="1"/>
  <c r="AG88" i="52"/>
</calcChain>
</file>

<file path=xl/sharedStrings.xml><?xml version="1.0" encoding="utf-8"?>
<sst xmlns="http://schemas.openxmlformats.org/spreadsheetml/2006/main" count="1035" uniqueCount="595">
  <si>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</si>
  <si>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</si>
  <si>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</si>
  <si>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</si>
  <si>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</si>
  <si>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</si>
  <si>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</si>
  <si>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</si>
  <si>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</si>
  <si>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</si>
  <si>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</si>
  <si>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</si>
  <si>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</si>
  <si>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</si>
  <si>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</si>
  <si>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</si>
  <si>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</si>
  <si>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</si>
  <si>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</si>
  <si>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</si>
  <si>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</si>
  <si>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</si>
  <si>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</si>
  <si>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</si>
  <si>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</si>
  <si>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</si>
  <si>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</si>
  <si>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</si>
  <si>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</si>
  <si>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</si>
  <si>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</si>
  <si>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</si>
  <si>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</si>
  <si>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</si>
  <si>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</si>
  <si>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</si>
  <si>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</si>
  <si>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</si>
  <si>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</si>
  <si>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</si>
  <si>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</si>
  <si>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</si>
  <si>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</si>
  <si>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</si>
  <si>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</si>
  <si>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</si>
  <si>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</si>
  <si>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</si>
  <si>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</si>
  <si>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</si>
  <si>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</si>
  <si>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</si>
  <si>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</si>
  <si>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</si>
  <si>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</si>
  <si>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</si>
  <si>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</si>
  <si>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</si>
  <si>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</si>
  <si>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</si>
  <si>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</si>
  <si>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</si>
  <si>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</si>
  <si>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</si>
  <si>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</si>
  <si>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</si>
  <si>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</si>
  <si>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</si>
  <si>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</si>
  <si>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</si>
  <si>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</si>
  <si>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</si>
  <si>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</si>
  <si>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</si>
  <si>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</si>
  <si>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</si>
  <si>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</si>
  <si>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</si>
  <si>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</si>
  <si>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</si>
  <si>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</si>
  <si>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</si>
  <si>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</si>
  <si>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</si>
  <si>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</si>
  <si>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</si>
  <si>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</si>
  <si>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</si>
  <si>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</si>
  <si>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</si>
  <si>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</si>
  <si>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</si>
  <si>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</si>
  <si>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</si>
  <si>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</si>
  <si>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</si>
  <si>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</si>
  <si>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</si>
  <si>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</si>
  <si>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</si>
  <si>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</si>
  <si>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</si>
  <si>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</si>
  <si>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</si>
  <si>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</si>
  <si>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</si>
  <si>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</si>
  <si>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</si>
  <si>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</si>
  <si>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</si>
  <si>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</si>
  <si>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</si>
  <si>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</si>
  <si>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</si>
  <si>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</si>
  <si>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</si>
  <si>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</si>
  <si>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</si>
  <si>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</si>
  <si>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</si>
  <si>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</si>
  <si>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</si>
  <si>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</si>
  <si>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</si>
  <si>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</si>
  <si>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</si>
  <si>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</si>
  <si>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</si>
  <si>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</si>
  <si>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</si>
  <si>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</si>
  <si>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</si>
  <si>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</si>
  <si>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</si>
  <si>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</si>
  <si>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</si>
  <si>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</si>
  <si>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</si>
  <si>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</si>
  <si>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</si>
  <si>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</si>
  <si>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</si>
  <si>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</si>
  <si>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</si>
  <si>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</si>
  <si>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</si>
  <si>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</si>
  <si>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</si>
  <si>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</si>
  <si>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</si>
  <si>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</si>
  <si>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</si>
  <si>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</si>
  <si>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</si>
  <si>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</si>
  <si>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</si>
  <si>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</si>
  <si>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</si>
  <si>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</si>
  <si>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</si>
  <si>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</si>
  <si>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</si>
  <si>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</si>
  <si>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</si>
  <si>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</si>
  <si>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</si>
  <si>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</si>
  <si>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</si>
  <si>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</si>
  <si>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</si>
  <si>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</si>
  <si>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</si>
  <si>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</si>
  <si>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</si>
  <si>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</si>
  <si>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</si>
  <si>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</si>
  <si>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</si>
  <si>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</si>
  <si>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</si>
  <si>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</si>
  <si>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</si>
  <si>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</si>
  <si>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</si>
  <si>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</si>
  <si>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</si>
  <si>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</si>
  <si>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</si>
  <si>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</si>
  <si>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</si>
  <si>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</si>
  <si>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</si>
  <si>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</si>
  <si>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</si>
  <si>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</si>
  <si>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</si>
  <si>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</si>
  <si>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</si>
  <si>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</si>
  <si>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</si>
  <si>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</si>
  <si>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</si>
  <si>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</si>
  <si>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</si>
  <si>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</si>
  <si>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</si>
  <si>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</si>
  <si>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</si>
  <si>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</si>
  <si>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</si>
  <si>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</si>
  <si>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</si>
  <si>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</si>
  <si>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</si>
  <si>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</si>
  <si>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</si>
  <si>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</si>
  <si>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</si>
  <si>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</si>
  <si>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</si>
  <si>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</si>
  <si>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</si>
  <si>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</si>
  <si>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</si>
  <si>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</si>
  <si>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</si>
  <si>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</si>
  <si>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</si>
  <si>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</si>
  <si>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</si>
  <si>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</si>
  <si>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</si>
  <si>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</si>
  <si>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</si>
  <si>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</si>
  <si>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</si>
  <si>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</si>
  <si>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</si>
  <si>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</si>
  <si>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</si>
  <si>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</si>
  <si>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</si>
  <si>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</si>
  <si>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</si>
  <si>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</si>
  <si>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</si>
  <si>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</si>
  <si>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</si>
  <si>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</si>
  <si>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</si>
  <si>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</si>
  <si>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</si>
  <si>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</si>
  <si>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</si>
  <si>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</si>
  <si>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</si>
  <si>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</si>
  <si>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</si>
  <si>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</si>
  <si>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</si>
  <si>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</si>
  <si>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</si>
  <si>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</si>
  <si>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</si>
  <si>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</si>
  <si>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</si>
  <si>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</si>
  <si>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</si>
  <si>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</si>
  <si>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</si>
  <si>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</si>
  <si>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</si>
  <si>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</si>
  <si>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</si>
  <si>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</si>
  <si>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</si>
  <si>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</si>
  <si>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</si>
  <si>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</si>
  <si>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</si>
  <si>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</si>
  <si>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</si>
  <si>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</si>
  <si>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</si>
  <si>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</si>
  <si>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</si>
  <si>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</si>
  <si>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</si>
  <si>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</si>
  <si>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</si>
  <si>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</si>
  <si>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</si>
  <si>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</si>
  <si>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</si>
  <si>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</si>
  <si>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</si>
  <si>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</si>
  <si>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</si>
  <si>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</si>
  <si>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</si>
  <si>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</si>
  <si>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</si>
  <si>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</si>
  <si>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</si>
  <si>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</si>
  <si>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</si>
  <si>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</si>
  <si>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</si>
  <si>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</si>
  <si>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</si>
  <si>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</si>
  <si>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</si>
  <si>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</si>
  <si>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</si>
  <si>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</si>
  <si>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</si>
  <si>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</si>
  <si>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</si>
  <si>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</si>
  <si>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</si>
  <si>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</si>
  <si>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</si>
  <si>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</si>
  <si>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</si>
  <si>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</si>
  <si>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</si>
  <si>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</si>
  <si>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</si>
  <si>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</si>
  <si>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</si>
  <si>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</si>
  <si>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</si>
  <si>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</si>
  <si>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</si>
  <si>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</si>
  <si>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</si>
  <si>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</si>
  <si>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</si>
  <si>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</si>
  <si>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</si>
  <si>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</si>
  <si>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</si>
  <si>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</si>
  <si>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</si>
  <si>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</si>
  <si>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</si>
  <si>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</si>
  <si>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</si>
  <si>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</si>
  <si>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</si>
  <si>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</si>
  <si>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</si>
  <si>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</si>
  <si>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</si>
  <si>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</si>
  <si>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</si>
  <si>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</si>
  <si>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</si>
  <si>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</si>
  <si>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</si>
  <si>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</si>
  <si>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</si>
  <si>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</si>
  <si>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</si>
  <si>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</si>
  <si>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</si>
  <si>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</si>
  <si>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</si>
  <si>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</si>
  <si>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</si>
  <si>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</si>
  <si>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</si>
  <si>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</si>
  <si>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</si>
  <si>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</si>
  <si>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</si>
  <si>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</si>
  <si>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</si>
  <si>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</si>
  <si>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</si>
  <si>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</si>
  <si>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</si>
  <si>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</si>
  <si>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</si>
  <si>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</si>
  <si>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</si>
  <si>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</si>
  <si>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</si>
  <si>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</si>
  <si>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</si>
  <si>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</si>
  <si>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</si>
  <si>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</si>
  <si>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</si>
  <si>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</si>
  <si>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</si>
  <si>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</si>
  <si>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</si>
  <si>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</si>
  <si>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</si>
  <si>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</si>
  <si>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</si>
  <si>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</si>
  <si>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</si>
  <si>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</si>
  <si>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</si>
  <si>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</si>
  <si>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</si>
  <si>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</si>
  <si>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</si>
  <si>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</si>
  <si>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</si>
  <si>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</si>
  <si>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</si>
  <si>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</si>
  <si>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</si>
  <si>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</si>
  <si>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</si>
  <si>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</si>
  <si>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</si>
  <si>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</si>
  <si>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</si>
  <si>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</si>
  <si>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</si>
  <si>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</si>
  <si>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</si>
  <si>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</si>
  <si>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</si>
  <si>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</si>
  <si>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</si>
  <si>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</si>
  <si>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</si>
  <si>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</si>
  <si>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</si>
  <si>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</si>
  <si>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</si>
  <si>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</si>
  <si>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</si>
  <si>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</si>
  <si>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</si>
  <si>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</si>
  <si>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</si>
  <si>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</si>
  <si>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</si>
  <si>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</si>
  <si>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</si>
  <si>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</si>
  <si>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</si>
  <si>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</si>
  <si>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</si>
  <si>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</si>
  <si>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</si>
  <si>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</si>
  <si>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</si>
  <si>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</si>
  <si>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</si>
  <si>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</si>
  <si>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</si>
  <si>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</si>
  <si>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</si>
  <si>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</si>
  <si>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</si>
  <si>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</si>
  <si>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</si>
  <si>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</si>
  <si>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</si>
  <si>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</si>
  <si>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</si>
  <si>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</si>
  <si>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</si>
  <si>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</si>
  <si>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</si>
  <si>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</si>
  <si>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</si>
  <si>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</si>
  <si>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</si>
  <si>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</si>
  <si>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</si>
  <si>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</si>
  <si>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</si>
  <si>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</si>
  <si>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</si>
  <si>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</si>
  <si>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</si>
  <si>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</si>
  <si>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</si>
  <si>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</si>
  <si>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</si>
  <si>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</si>
  <si>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</si>
  <si>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</si>
  <si>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</si>
  <si>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</si>
  <si>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</si>
  <si>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</si>
  <si>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</si>
  <si>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</si>
  <si>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</si>
  <si>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</si>
  <si>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</si>
  <si>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</si>
  <si>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</si>
  <si>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</si>
  <si>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</si>
  <si>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</si>
  <si>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</si>
  <si>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</si>
  <si>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</si>
  <si>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</si>
  <si>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</si>
  <si>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</si>
  <si>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</si>
  <si>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</si>
  <si>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</si>
  <si>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</si>
  <si>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</si>
  <si>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</si>
  <si>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ТМГ</t>
  </si>
  <si>
    <t>Т-1</t>
  </si>
  <si>
    <t>ВЛИ</t>
  </si>
  <si>
    <t>В целом исправна и соответствует требованиям НТД</t>
  </si>
  <si>
    <t>Акт 2014г. ООО "ЭнЭкА"</t>
  </si>
  <si>
    <t>Акт 2016г. ООО "ЭнЭкА"</t>
  </si>
  <si>
    <t>Повышение индекса состояния до нормированного значения. Уровень напряжения соответсвует требованиям ГОСТ 32144-2013 (220 В)</t>
  </si>
  <si>
    <t>АО "Россети Янтарь"</t>
  </si>
  <si>
    <t>Предложения по корректировке плана</t>
  </si>
  <si>
    <t>Акционерное общество "Россети Янтарь" ДЗО  ПАО "Россети"</t>
  </si>
  <si>
    <t>от «__» _____ 2022 г. №___</t>
  </si>
  <si>
    <t>ВЛ 0,4 кВ Л-1 от ТП 51-01</t>
  </si>
  <si>
    <t>Акт обследования от 12.12.2022 г.</t>
  </si>
  <si>
    <t>Требуется строительство ТП, ВЛ 15кВ, строительство ВЛИ, демонтаж ВЛ 0,4 кВ от ТП 51-01.</t>
  </si>
  <si>
    <t>Гурьевский городской округ</t>
  </si>
  <si>
    <t>не относится</t>
  </si>
  <si>
    <t>Требуется демонтаж                  ТП 51-01 и строительство ТП в центре нагрузок.</t>
  </si>
  <si>
    <t>Калининградская область, Гурьевский городской округ</t>
  </si>
  <si>
    <t>предварительный расчет стоимости по объекту-аналогу</t>
  </si>
  <si>
    <t>Возможно реализовать в установленный срок</t>
  </si>
  <si>
    <t>ТП 15/0,4 кВ 160 кВА</t>
  </si>
  <si>
    <t>от оп. 41 ВЛ 15-51 до ТП-новой</t>
  </si>
  <si>
    <t>ВЛИ 0,4 кВ-новая</t>
  </si>
  <si>
    <t>ВЛ 0,4 кВ Л-2 от ТП 51-01</t>
  </si>
  <si>
    <t>Акт обсл. От 12.12.2022 г.</t>
  </si>
  <si>
    <t xml:space="preserve">ВЛ 0,4 кВ Л-2 от ТП 051-01 </t>
  </si>
  <si>
    <t>от оп. №13 до оп. №24, от оп. №39 до оп. №39-6, от оп. №42 до оп. №42-2</t>
  </si>
  <si>
    <t>дер.</t>
  </si>
  <si>
    <t>Требуется реконструкция линии с заменой провода и опор</t>
  </si>
  <si>
    <t>Акт обсл. от 12.12.2022 г.</t>
  </si>
  <si>
    <r>
      <t>∆P</t>
    </r>
    <r>
      <rPr>
        <vertAlign val="superscript"/>
        <sz val="11"/>
        <color theme="1"/>
        <rFont val="Calibri"/>
        <family val="2"/>
        <charset val="204"/>
        <scheme val="minor"/>
      </rPr>
      <t>15</t>
    </r>
    <r>
      <rPr>
        <sz val="11"/>
        <color theme="1"/>
        <rFont val="Calibri"/>
        <family val="2"/>
        <scheme val="minor"/>
      </rPr>
      <t>тр=0,08 МВА,  ∆L</t>
    </r>
    <r>
      <rPr>
        <vertAlign val="superscript"/>
        <sz val="11"/>
        <color theme="1"/>
        <rFont val="Calibri"/>
        <family val="2"/>
        <charset val="204"/>
        <scheme val="minor"/>
      </rPr>
      <t>15</t>
    </r>
    <r>
      <rPr>
        <sz val="11"/>
        <color theme="1"/>
        <rFont val="Calibri"/>
        <family val="2"/>
        <scheme val="minor"/>
      </rPr>
      <t>лэп=0,985 км, ∆L</t>
    </r>
    <r>
      <rPr>
        <vertAlign val="superscript"/>
        <sz val="11"/>
        <color theme="1"/>
        <rFont val="Calibri"/>
        <family val="2"/>
        <charset val="204"/>
        <scheme val="minor"/>
      </rPr>
      <t>0,4</t>
    </r>
    <r>
      <rPr>
        <sz val="11"/>
        <color theme="1"/>
        <rFont val="Calibri"/>
        <family val="2"/>
        <scheme val="minor"/>
      </rPr>
      <t>лэп=-0,41 км;  
L</t>
    </r>
    <r>
      <rPr>
        <vertAlign val="superscript"/>
        <sz val="11"/>
        <color theme="1"/>
        <rFont val="Calibri"/>
        <family val="2"/>
        <charset val="204"/>
        <scheme val="minor"/>
      </rPr>
      <t>0,4</t>
    </r>
    <r>
      <rPr>
        <sz val="11"/>
        <color theme="1"/>
        <rFont val="Calibri"/>
        <family val="2"/>
        <scheme val="minor"/>
      </rPr>
      <t>з_лэп=1,75 км</t>
    </r>
  </si>
  <si>
    <t>2025</t>
  </si>
  <si>
    <t>от ТП-новая до опоры № 25 ВЛ 0,4 кВ Л-2 от ТП 051-01,
от ТП-новая до опоры № 48 ВЛ 0,4 кВ Л-2 от ТП 051-01</t>
  </si>
  <si>
    <t xml:space="preserve">от ТП 51-01 до оп. №18, от оп. №3 до оп. №3-1, от оп. №10 до оп. №10-1, от оп. №15 до оп. №15-2, от оп. №15 до оп. №15-1-1, от оп. №17 до оп. №17-1 </t>
  </si>
  <si>
    <t>3,01 км (0,575 км), 0,16 МВА (0,08 МВА)</t>
  </si>
  <si>
    <t>Отключение потребетилей, влияющих на показатели saidi и saifi не было</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</si>
  <si>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</si>
  <si>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</si>
  <si>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МТП 15/0,4 кВ 051-01</t>
  </si>
  <si>
    <t>МТП 15/0,4 кВ 051-01 новая</t>
  </si>
  <si>
    <t>ВЛ 15 кВ 15-51</t>
  </si>
  <si>
    <t>от ТП 51-01 до оп. №13, 
от оп. 39 до оп. 42</t>
  </si>
  <si>
    <t>50, 35</t>
  </si>
  <si>
    <t>Приведение эксплуатуционного состояния  ВЛ 0,4 кВ к действующим НТД, ПТЭ,ПУЭ, отраслевым регламентам, ГОСТ 32144-13</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</si>
  <si>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</si>
  <si>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</si>
  <si>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</si>
  <si>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</si>
  <si>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</si>
  <si>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</si>
  <si>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</si>
  <si>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2025 года с НДС, млн. руб.</t>
  </si>
  <si>
    <t xml:space="preserve">0,0714 МВт от 28.01.2021 г. - для ТП 051-01                                                                       </t>
  </si>
  <si>
    <t>ВЛ 15 кВ - 2,50 млн.руб./км; 
ВЛ 0,4 кВ - 2,44 млн.руб./км; 
ТП 15/0,4 кВ - 6,88 млн.руб./МВА</t>
  </si>
  <si>
    <t>N_18-0871</t>
  </si>
  <si>
    <t>Инвестиции</t>
  </si>
  <si>
    <t>Акт обследования ВЛ 0,4 кВ от ТП 51-01 от 12.12.2022 г. -  Несоответствие пропускной способности. Значительно превышен нормативный срок эксплуатации, высокий износ участка сетей. Загнивание деревянных стоек опор. Требуется строительство ТП, ВЛ 15кВ, строительство ВЛИ, демонтаж ВЛ 0,4 кВ от ТП 51-01. 
Индекс технического состояния ВЛ 0,4 кВ от ТП 051-01 Л-1 - 49,127; ВЛ 0,4 кВ от ТП 051-01 Л-2 - 29,123
Акт обследования ТП 51-01 от 12.12.2022 г. - износ конструкции ТП; износ разъединителя; износ трансформатора; невозможность увеличения мощности трансформатора путем его замены из-за малых размеров трансформаторной камеры; ТП размещено на значительном расстоянии от центра нагрузок, ввиду чего значительные потери на ВЛ 0,4 кВ. Требуется демонтаж ТП 51-01 и строительство ТП в центре нагрузок.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</si>
  <si>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</si>
  <si>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</si>
  <si>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</si>
  <si>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</si>
  <si>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тыс. кВтч</t>
  </si>
  <si>
    <t>Прирост за счет увеличения  сечения провода, от снижения потерь ээ,  тыс. кВтч</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</si>
  <si>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</si>
  <si>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</si>
  <si>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</si>
  <si>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</si>
  <si>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</si>
  <si>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</si>
  <si>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</si>
  <si>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</si>
  <si>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</si>
  <si>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</si>
  <si>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</si>
  <si>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</si>
  <si>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да</t>
  </si>
  <si>
    <t>С</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</si>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</sst>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_-* #,##0.000000000\ _₽_-;\-* #,##0.000000000\ _₽_-;_-* &quot;-&quot;?????????\ _₽_-;_-@_-"/>
    <numFmt numFmtId="177" formatCode="0.000000"/>
    <numFmt numFmtId="178" formatCode="#,##0.000000000_ ;\-#,##0.000000000\ "/>
    <numFmt numFmtId="179" formatCode="0.00000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10"/>
      <color rgb="FFFF0000"/>
      <name val="Arial Cyr"/>
      <charset val="204"/>
    </font>
    <font>
      <b/>
      <u/>
      <sz val="14"/>
      <color rgb="FFFF0000"/>
      <name val="Times New Roman"/>
      <family val="1"/>
      <charset val="204"/>
    </font>
    <font>
      <sz val="11"/>
      <name val="Calibri"/>
      <family val="2"/>
      <charset val="204"/>
      <scheme val="minor"/>
    </font>
    <font>
      <sz val="11"/>
      <color theme="6" tint="-0.499984740745262"/>
      <name val="Calibri"/>
      <family val="2"/>
      <charset val="204"/>
      <scheme val="minor"/>
    </font>
    <font>
      <b/>
      <sz val="11"/>
      <name val="Calibri"/>
      <family val="2"/>
      <charset val="204"/>
      <scheme val="minor"/>
    </font>
    <font>
      <sz val="10"/>
      <color rgb="FF000000"/>
      <name val="Arial Cyr"/>
      <charset val="204"/>
    </font>
    <font>
      <sz val="11"/>
      <color rgb="FF000000"/>
      <name val="Times New Roman"/>
      <family val="1"/>
      <charset val="204"/>
    </font>
    <font>
      <sz val="11"/>
      <color rgb="FF000000"/>
      <name val="Arial Cyr"/>
      <charset val="204"/>
    </font>
    <font>
      <sz val="11"/>
      <color theme="3" tint="0.59999389629810485"/>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78" fillId="0" borderId="0" xfId="62" applyFont="1" applyFill="1"/>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0" fontId="40" fillId="0" borderId="47" xfId="67" applyNumberFormat="1" applyFont="1" applyFill="1" applyBorder="1" applyAlignment="1">
      <alignment horizontal="center" vertical="center"/>
    </xf>
    <xf numFmtId="171" fontId="41" fillId="0" borderId="47" xfId="67" applyNumberFormat="1" applyFont="1" applyFill="1" applyBorder="1" applyAlignment="1">
      <alignment vertical="center"/>
    </xf>
    <xf numFmtId="172" fontId="41" fillId="0" borderId="47" xfId="67" applyNumberFormat="1" applyFont="1" applyFill="1" applyBorder="1" applyAlignment="1">
      <alignment vertical="center"/>
    </xf>
    <xf numFmtId="0" fontId="44" fillId="0" borderId="47" xfId="62" applyBorder="1" applyAlignment="1">
      <alignment horizontal="center" vertical="center" wrapText="1"/>
    </xf>
    <xf numFmtId="0" fontId="44" fillId="24" borderId="47" xfId="62" applyFill="1" applyBorder="1" applyAlignment="1">
      <alignment horizontal="center" vertical="center"/>
    </xf>
    <xf numFmtId="0" fontId="44" fillId="0" borderId="47" xfId="62" applyBorder="1" applyAlignment="1">
      <alignment horizontal="center" vertical="center"/>
    </xf>
    <xf numFmtId="0" fontId="44" fillId="0" borderId="47" xfId="62" applyBorder="1" applyAlignment="1">
      <alignment horizontal="left" vertical="center" wrapText="1"/>
    </xf>
    <xf numFmtId="4" fontId="44" fillId="0" borderId="47" xfId="62" applyNumberFormat="1" applyBorder="1" applyAlignment="1">
      <alignment horizontal="center" vertical="center"/>
    </xf>
    <xf numFmtId="0" fontId="44" fillId="24" borderId="47" xfId="62" applyFill="1" applyBorder="1" applyAlignment="1">
      <alignment horizontal="center" vertical="center" wrapText="1"/>
    </xf>
    <xf numFmtId="9" fontId="0" fillId="0" borderId="47" xfId="68" applyFont="1" applyBorder="1" applyAlignment="1">
      <alignment horizontal="left" vertical="center" wrapText="1"/>
    </xf>
    <xf numFmtId="9" fontId="0" fillId="0" borderId="47" xfId="68" applyFont="1" applyBorder="1" applyAlignment="1">
      <alignment horizontal="center" vertical="center"/>
    </xf>
    <xf numFmtId="9" fontId="44" fillId="24" borderId="47" xfId="68" applyFont="1" applyFill="1" applyBorder="1" applyAlignment="1">
      <alignment horizontal="center" vertical="center"/>
    </xf>
    <xf numFmtId="0" fontId="44" fillId="25" borderId="47" xfId="62" applyFill="1" applyBorder="1" applyAlignment="1">
      <alignment horizontal="center" vertical="center" wrapText="1"/>
    </xf>
    <xf numFmtId="0" fontId="44" fillId="0" borderId="47" xfId="62" applyFill="1" applyBorder="1" applyAlignment="1">
      <alignment horizontal="center" vertical="center" wrapText="1"/>
    </xf>
    <xf numFmtId="0" fontId="44" fillId="0" borderId="47" xfId="62" applyBorder="1" applyAlignment="1">
      <alignment wrapText="1"/>
    </xf>
    <xf numFmtId="0" fontId="44" fillId="0" borderId="47" xfId="62" applyBorder="1"/>
    <xf numFmtId="0" fontId="44" fillId="0" borderId="47" xfId="62" applyBorder="1" applyAlignment="1">
      <alignment horizontal="left" wrapText="1"/>
    </xf>
    <xf numFmtId="0" fontId="62" fillId="0" borderId="47" xfId="62" applyFont="1" applyBorder="1" applyAlignment="1">
      <alignment wrapText="1"/>
    </xf>
    <xf numFmtId="3" fontId="62" fillId="25" borderId="47" xfId="62" applyNumberFormat="1" applyFont="1" applyFill="1" applyBorder="1" applyAlignment="1">
      <alignment horizontal="center"/>
    </xf>
    <xf numFmtId="0" fontId="62" fillId="0" borderId="49" xfId="62" applyFont="1" applyBorder="1" applyAlignment="1">
      <alignment wrapText="1"/>
    </xf>
    <xf numFmtId="3" fontId="62" fillId="0" borderId="49" xfId="62" applyNumberFormat="1" applyFont="1" applyFill="1" applyBorder="1"/>
    <xf numFmtId="4" fontId="62" fillId="0" borderId="47" xfId="62" applyNumberFormat="1" applyFont="1" applyFill="1" applyBorder="1" applyAlignment="1">
      <alignment horizontal="center"/>
    </xf>
    <xf numFmtId="4" fontId="62" fillId="24" borderId="47" xfId="62" applyNumberFormat="1" applyFont="1" applyFill="1" applyBorder="1" applyAlignment="1">
      <alignment horizontal="center"/>
    </xf>
    <xf numFmtId="10" fontId="62" fillId="24" borderId="47" xfId="62" applyNumberFormat="1" applyFont="1" applyFill="1" applyBorder="1" applyAlignment="1">
      <alignment horizontal="center"/>
    </xf>
    <xf numFmtId="0" fontId="62" fillId="0" borderId="47" xfId="62" applyFont="1" applyBorder="1"/>
    <xf numFmtId="10" fontId="62" fillId="0" borderId="47" xfId="62" applyNumberFormat="1" applyFont="1" applyBorder="1"/>
    <xf numFmtId="0" fontId="62" fillId="0" borderId="49" xfId="62" applyFont="1" applyFill="1" applyBorder="1"/>
    <xf numFmtId="10" fontId="62" fillId="0" borderId="49" xfId="62" applyNumberFormat="1" applyFont="1" applyFill="1" applyBorder="1"/>
    <xf numFmtId="3" fontId="7" fillId="0" borderId="47" xfId="67" applyNumberFormat="1" applyFont="1" applyFill="1" applyBorder="1" applyAlignment="1">
      <alignment horizontal="right" vertical="center"/>
    </xf>
    <xf numFmtId="167" fontId="36" fillId="0" borderId="47"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3" fillId="0" borderId="2" xfId="45" applyNumberFormat="1" applyFont="1" applyFill="1" applyBorder="1" applyAlignment="1">
      <alignment horizontal="center" vertical="center" wrapText="1"/>
    </xf>
    <xf numFmtId="0" fontId="11" fillId="0" borderId="47"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4" fontId="79" fillId="27" borderId="47" xfId="62" applyNumberFormat="1" applyFont="1" applyFill="1" applyBorder="1" applyAlignment="1">
      <alignment horizontal="center"/>
    </xf>
    <xf numFmtId="0" fontId="79" fillId="25" borderId="47"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51" xfId="62" applyFont="1" applyBorder="1" applyAlignment="1">
      <alignment horizontal="center" vertical="center"/>
    </xf>
    <xf numFmtId="0" fontId="11" fillId="0" borderId="51" xfId="62" applyFont="1" applyBorder="1" applyAlignment="1">
      <alignment horizontal="center" vertical="center" wrapText="1"/>
    </xf>
    <xf numFmtId="0" fontId="11" fillId="0" borderId="51" xfId="62" applyFont="1" applyFill="1" applyBorder="1" applyAlignment="1">
      <alignment horizontal="center" vertical="center"/>
    </xf>
    <xf numFmtId="0" fontId="11" fillId="0" borderId="51" xfId="62" applyFont="1" applyFill="1" applyBorder="1" applyAlignment="1">
      <alignment horizontal="center" vertical="center" wrapText="1"/>
    </xf>
    <xf numFmtId="0" fontId="11" fillId="0" borderId="51" xfId="62" applyFont="1" applyFill="1" applyBorder="1" applyAlignment="1">
      <alignment vertical="center" wrapText="1"/>
    </xf>
    <xf numFmtId="0" fontId="11" fillId="0" borderId="1" xfId="1" applyFont="1" applyBorder="1" applyAlignment="1">
      <alignment vertical="center" wrapText="1"/>
    </xf>
    <xf numFmtId="0" fontId="2" fillId="0" borderId="52" xfId="0" applyFont="1" applyBorder="1" applyAlignment="1">
      <alignment horizontal="center" vertical="center"/>
    </xf>
    <xf numFmtId="0" fontId="2" fillId="0" borderId="52" xfId="0" applyFont="1" applyBorder="1" applyAlignment="1">
      <alignment horizontal="center" vertical="center" wrapText="1"/>
    </xf>
    <xf numFmtId="0" fontId="0" fillId="0" borderId="52" xfId="0" applyBorder="1" applyAlignment="1">
      <alignment horizontal="center" vertical="center"/>
    </xf>
    <xf numFmtId="0" fontId="0" fillId="0" borderId="52" xfId="0" applyBorder="1"/>
    <xf numFmtId="0" fontId="0" fillId="0" borderId="52" xfId="0" applyFill="1" applyBorder="1" applyAlignment="1">
      <alignment horizontal="center" vertical="center"/>
    </xf>
    <xf numFmtId="0" fontId="2" fillId="0" borderId="53" xfId="0" applyFont="1" applyBorder="1" applyAlignment="1">
      <alignment horizontal="center" vertical="center"/>
    </xf>
    <xf numFmtId="0" fontId="0" fillId="0" borderId="52" xfId="0" applyBorder="1" applyAlignment="1">
      <alignment wrapText="1"/>
    </xf>
    <xf numFmtId="176" fontId="0" fillId="0" borderId="52" xfId="0" applyNumberFormat="1" applyBorder="1"/>
    <xf numFmtId="0" fontId="81" fillId="0" borderId="52" xfId="0" applyFont="1" applyBorder="1" applyAlignment="1">
      <alignment horizontal="center" vertical="center"/>
    </xf>
    <xf numFmtId="0" fontId="81" fillId="0" borderId="52" xfId="0" applyFont="1" applyFill="1" applyBorder="1" applyAlignment="1">
      <alignment horizontal="center" vertical="center"/>
    </xf>
    <xf numFmtId="0" fontId="81" fillId="0" borderId="53" xfId="0" applyFont="1" applyFill="1" applyBorder="1" applyAlignment="1">
      <alignment horizontal="center" vertical="center"/>
    </xf>
    <xf numFmtId="43" fontId="0" fillId="0" borderId="52" xfId="0" applyNumberFormat="1" applyBorder="1"/>
    <xf numFmtId="177" fontId="0" fillId="0" borderId="52" xfId="0" applyNumberFormat="1" applyBorder="1"/>
    <xf numFmtId="178" fontId="0" fillId="0" borderId="52" xfId="0" applyNumberFormat="1" applyBorder="1"/>
    <xf numFmtId="179" fontId="0" fillId="0" borderId="52" xfId="0" applyNumberFormat="1" applyBorder="1"/>
    <xf numFmtId="0" fontId="0" fillId="0" borderId="52" xfId="0" applyFont="1" applyBorder="1" applyAlignment="1">
      <alignment horizontal="center" vertical="center" wrapText="1"/>
    </xf>
    <xf numFmtId="0" fontId="81" fillId="0" borderId="52" xfId="0" applyFont="1" applyBorder="1" applyAlignment="1">
      <alignment horizontal="center" vertical="center" wrapText="1"/>
    </xf>
    <xf numFmtId="0" fontId="81" fillId="0" borderId="52" xfId="0" applyFont="1" applyBorder="1"/>
    <xf numFmtId="0" fontId="81" fillId="0" borderId="52" xfId="0" applyFont="1" applyBorder="1" applyAlignment="1">
      <alignment wrapText="1"/>
    </xf>
    <xf numFmtId="1" fontId="81" fillId="0" borderId="52" xfId="0" applyNumberFormat="1" applyFont="1" applyFill="1" applyBorder="1" applyAlignment="1">
      <alignment horizontal="left" vertical="center"/>
    </xf>
    <xf numFmtId="0" fontId="81" fillId="0" borderId="52" xfId="0" applyFont="1" applyBorder="1" applyAlignment="1">
      <alignment horizontal="left"/>
    </xf>
    <xf numFmtId="0" fontId="82" fillId="0" borderId="52" xfId="0" applyFont="1" applyBorder="1"/>
    <xf numFmtId="0" fontId="81" fillId="0" borderId="52" xfId="0" applyFont="1" applyFill="1" applyBorder="1" applyAlignment="1">
      <alignment wrapText="1"/>
    </xf>
    <xf numFmtId="0" fontId="82" fillId="0" borderId="52" xfId="0" applyFont="1" applyFill="1" applyBorder="1" applyAlignment="1">
      <alignment horizontal="center" vertical="center"/>
    </xf>
    <xf numFmtId="0" fontId="81" fillId="0" borderId="52" xfId="0" applyFont="1" applyFill="1" applyBorder="1" applyAlignment="1">
      <alignment horizontal="left" vertical="center"/>
    </xf>
    <xf numFmtId="0" fontId="4" fillId="0" borderId="0" xfId="1" applyFont="1" applyFill="1" applyBorder="1" applyAlignment="1">
      <alignment horizontal="center" vertical="center"/>
    </xf>
    <xf numFmtId="49" fontId="7" fillId="0" borderId="52" xfId="1" applyNumberFormat="1" applyFont="1" applyFill="1" applyBorder="1" applyAlignment="1">
      <alignment vertical="center"/>
    </xf>
    <xf numFmtId="0" fontId="7" fillId="0" borderId="52"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0" fillId="0" borderId="0" xfId="0" applyFill="1"/>
    <xf numFmtId="0" fontId="42" fillId="0" borderId="52" xfId="2" applyNumberFormat="1" applyFont="1" applyFill="1" applyBorder="1" applyAlignment="1">
      <alignment horizontal="center" vertical="top" wrapText="1"/>
    </xf>
    <xf numFmtId="0" fontId="42" fillId="0" borderId="52" xfId="2" applyFont="1" applyFill="1" applyBorder="1" applyAlignment="1">
      <alignment horizontal="center" vertical="center" wrapText="1"/>
    </xf>
    <xf numFmtId="0" fontId="42" fillId="0" borderId="52" xfId="2" applyFont="1" applyFill="1" applyBorder="1" applyAlignment="1">
      <alignment vertical="top" wrapText="1"/>
    </xf>
    <xf numFmtId="0" fontId="11" fillId="0" borderId="52" xfId="2" applyFont="1" applyFill="1" applyBorder="1" applyAlignment="1">
      <alignment horizontal="center" vertical="center" wrapText="1"/>
    </xf>
    <xf numFmtId="0" fontId="11" fillId="0" borderId="52" xfId="2" applyNumberFormat="1" applyFont="1" applyFill="1" applyBorder="1" applyAlignment="1">
      <alignment horizontal="center" vertical="top" wrapText="1"/>
    </xf>
    <xf numFmtId="0" fontId="11" fillId="0" borderId="52" xfId="2" applyFont="1" applyFill="1" applyBorder="1"/>
    <xf numFmtId="0" fontId="0" fillId="0" borderId="52" xfId="0" applyFill="1" applyBorder="1" applyAlignment="1">
      <alignment wrapText="1"/>
    </xf>
    <xf numFmtId="0" fontId="11" fillId="0" borderId="52" xfId="2" applyFont="1" applyFill="1" applyBorder="1" applyAlignment="1">
      <alignment vertical="top" wrapText="1"/>
    </xf>
    <xf numFmtId="0" fontId="11" fillId="0" borderId="52" xfId="2" applyFont="1" applyFill="1" applyBorder="1" applyAlignment="1">
      <alignment horizontal="justify" vertical="top" wrapText="1"/>
    </xf>
    <xf numFmtId="0" fontId="11" fillId="0" borderId="52" xfId="2" applyNumberFormat="1" applyFont="1" applyFill="1" applyBorder="1" applyAlignment="1">
      <alignment horizontal="left" vertical="top" wrapText="1"/>
    </xf>
    <xf numFmtId="169" fontId="42" fillId="0" borderId="52" xfId="2" applyNumberFormat="1" applyFont="1" applyFill="1" applyBorder="1" applyAlignment="1">
      <alignment horizontal="right" vertical="top" wrapText="1"/>
    </xf>
    <xf numFmtId="0" fontId="38" fillId="0" borderId="0" xfId="1" applyFont="1" applyAlignment="1">
      <alignment wrapText="1"/>
    </xf>
    <xf numFmtId="0" fontId="40" fillId="0" borderId="30" xfId="2" applyNumberFormat="1" applyFont="1" applyFill="1" applyBorder="1" applyAlignment="1">
      <alignment horizontal="left" vertical="top" wrapText="1"/>
    </xf>
    <xf numFmtId="0" fontId="11" fillId="0" borderId="52" xfId="62" applyFont="1" applyBorder="1" applyAlignment="1">
      <alignment horizontal="center" vertical="center"/>
    </xf>
    <xf numFmtId="0" fontId="11" fillId="0" borderId="52" xfId="62" applyFont="1" applyBorder="1" applyAlignment="1">
      <alignment horizontal="center" vertical="center" wrapText="1"/>
    </xf>
    <xf numFmtId="0" fontId="11" fillId="0" borderId="52" xfId="62" applyFont="1" applyFill="1" applyBorder="1" applyAlignment="1">
      <alignment horizontal="center" vertical="center"/>
    </xf>
    <xf numFmtId="0" fontId="7" fillId="0" borderId="52" xfId="1" applyFont="1" applyFill="1" applyBorder="1" applyAlignment="1">
      <alignment vertical="center" wrapText="1"/>
    </xf>
    <xf numFmtId="0" fontId="7" fillId="0" borderId="52" xfId="1" applyFont="1" applyFill="1" applyBorder="1" applyAlignment="1">
      <alignment horizontal="left" vertical="center" wrapText="1"/>
    </xf>
    <xf numFmtId="0" fontId="7" fillId="28" borderId="0" xfId="0" applyFont="1" applyFill="1" applyAlignment="1">
      <alignment horizontal="left" vertical="center"/>
    </xf>
    <xf numFmtId="0" fontId="3" fillId="28" borderId="52" xfId="1" applyFont="1" applyFill="1" applyBorder="1" applyAlignment="1">
      <alignment horizontal="left" vertical="center" wrapText="1"/>
    </xf>
    <xf numFmtId="0" fontId="3" fillId="0" borderId="52" xfId="1" applyFill="1" applyBorder="1"/>
    <xf numFmtId="0" fontId="3" fillId="0" borderId="0" xfId="1" applyFill="1" applyBorder="1" applyAlignment="1">
      <alignment vertical="center"/>
    </xf>
    <xf numFmtId="0" fontId="7" fillId="0" borderId="52" xfId="1" applyFont="1" applyBorder="1" applyAlignment="1">
      <alignment vertical="center"/>
    </xf>
    <xf numFmtId="0" fontId="36" fillId="0" borderId="31" xfId="2" applyFont="1" applyFill="1" applyBorder="1" applyAlignment="1">
      <alignment horizontal="justify"/>
    </xf>
    <xf numFmtId="2" fontId="40" fillId="0"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0" applyFont="1" applyBorder="1" applyAlignment="1">
      <alignment horizontal="center" vertical="center" wrapText="1"/>
    </xf>
    <xf numFmtId="0" fontId="7" fillId="0" borderId="10" xfId="1" applyFont="1" applyFill="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54" xfId="1" applyNumberFormat="1" applyFont="1" applyFill="1" applyBorder="1" applyAlignment="1">
      <alignment horizontal="center" vertical="center"/>
    </xf>
    <xf numFmtId="0" fontId="7" fillId="0" borderId="54"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5"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7" fillId="0" borderId="55" xfId="1" applyFont="1" applyBorder="1" applyAlignment="1">
      <alignment vertical="center"/>
    </xf>
    <xf numFmtId="0" fontId="4" fillId="0" borderId="55" xfId="1" applyFont="1" applyBorder="1" applyAlignment="1">
      <alignment horizontal="center" vertical="center"/>
    </xf>
    <xf numFmtId="14" fontId="11" fillId="0" borderId="55" xfId="2" applyNumberFormat="1" applyFont="1" applyFill="1" applyBorder="1" applyAlignment="1">
      <alignment horizontal="center" vertical="center" wrapText="1" shrinkToFit="1"/>
    </xf>
    <xf numFmtId="0" fontId="11" fillId="0" borderId="55" xfId="2" applyFont="1" applyBorder="1" applyAlignment="1">
      <alignment horizontal="center" vertical="center" wrapText="1"/>
    </xf>
    <xf numFmtId="0" fontId="11" fillId="0" borderId="55" xfId="2" applyFont="1" applyFill="1" applyBorder="1"/>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5" fontId="42" fillId="0" borderId="55" xfId="2" applyNumberFormat="1" applyFont="1" applyFill="1" applyBorder="1" applyAlignment="1">
      <alignment horizontal="center" vertical="center" wrapText="1"/>
    </xf>
    <xf numFmtId="175" fontId="39"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175" fontId="11" fillId="0" borderId="55" xfId="2" applyNumberFormat="1" applyFont="1" applyFill="1" applyBorder="1" applyAlignment="1">
      <alignment horizontal="center" vertical="center" wrapText="1"/>
    </xf>
    <xf numFmtId="175" fontId="11" fillId="0" borderId="55" xfId="0" applyNumberFormat="1" applyFont="1" applyFill="1" applyBorder="1" applyAlignment="1">
      <alignment horizontal="center" vertical="center"/>
    </xf>
    <xf numFmtId="175" fontId="42" fillId="0" borderId="55" xfId="0" applyNumberFormat="1" applyFont="1" applyFill="1" applyBorder="1" applyAlignment="1">
      <alignment horizontal="center" vertical="center"/>
    </xf>
    <xf numFmtId="0" fontId="47" fillId="0" borderId="55" xfId="45" applyFont="1" applyFill="1" applyBorder="1" applyAlignment="1">
      <alignment horizontal="left" vertical="center" wrapText="1"/>
    </xf>
    <xf numFmtId="175"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1"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40" fillId="26" borderId="33" xfId="2" applyNumberFormat="1" applyFont="1" applyFill="1" applyBorder="1" applyAlignment="1">
      <alignment horizontal="left" vertical="center" wrapText="1"/>
    </xf>
    <xf numFmtId="0" fontId="11" fillId="28" borderId="52" xfId="1" applyFont="1" applyFill="1" applyBorder="1" applyAlignment="1">
      <alignment horizontal="left" vertical="center" wrapText="1"/>
    </xf>
    <xf numFmtId="10" fontId="36" fillId="0" borderId="43" xfId="67" applyNumberFormat="1" applyFont="1" applyFill="1" applyBorder="1" applyAlignment="1">
      <alignment vertical="center"/>
    </xf>
    <xf numFmtId="10" fontId="84" fillId="29" borderId="60" xfId="62" applyNumberFormat="1" applyFont="1" applyFill="1" applyBorder="1"/>
    <xf numFmtId="3" fontId="7" fillId="30" borderId="47" xfId="67" applyNumberFormat="1" applyFont="1" applyFill="1" applyBorder="1" applyAlignment="1">
      <alignment horizontal="right" vertical="center"/>
    </xf>
    <xf numFmtId="167" fontId="36" fillId="30" borderId="47" xfId="67" applyNumberFormat="1" applyFont="1" applyFill="1" applyBorder="1" applyAlignment="1">
      <alignment horizontal="right" vertical="center"/>
    </xf>
    <xf numFmtId="0" fontId="84" fillId="29" borderId="60" xfId="62" applyFont="1" applyFill="1" applyBorder="1" applyAlignment="1">
      <alignment horizontal="left" vertical="center" wrapText="1"/>
    </xf>
    <xf numFmtId="3" fontId="85" fillId="0" borderId="61" xfId="67" applyNumberFormat="1" applyFont="1" applyFill="1" applyBorder="1" applyAlignment="1">
      <alignment horizontal="center" vertical="center"/>
    </xf>
    <xf numFmtId="0" fontId="85" fillId="0" borderId="60" xfId="67" applyFont="1" applyFill="1" applyBorder="1" applyAlignment="1">
      <alignment horizontal="center" vertical="center"/>
    </xf>
    <xf numFmtId="0" fontId="86" fillId="0" borderId="60" xfId="62" applyFont="1" applyFill="1" applyBorder="1" applyAlignment="1">
      <alignment horizontal="center"/>
    </xf>
    <xf numFmtId="0" fontId="84" fillId="29" borderId="60" xfId="62" applyFont="1" applyFill="1" applyBorder="1" applyAlignment="1">
      <alignment horizontal="center" wrapText="1"/>
    </xf>
    <xf numFmtId="0" fontId="44" fillId="0" borderId="60" xfId="62" applyBorder="1" applyAlignment="1">
      <alignment horizontal="left" vertical="center" wrapText="1"/>
    </xf>
    <xf numFmtId="4" fontId="44" fillId="0" borderId="60" xfId="62" applyNumberFormat="1" applyBorder="1" applyAlignment="1">
      <alignment horizontal="center" vertical="center"/>
    </xf>
    <xf numFmtId="0" fontId="44" fillId="29" borderId="60" xfId="62" applyFont="1" applyFill="1" applyBorder="1" applyAlignment="1">
      <alignment horizontal="center" vertical="center"/>
    </xf>
    <xf numFmtId="167" fontId="87" fillId="0" borderId="0" xfId="67" applyNumberFormat="1" applyFont="1" applyFill="1" applyBorder="1" applyAlignment="1">
      <alignment horizontal="center" vertical="center"/>
    </xf>
    <xf numFmtId="14" fontId="11" fillId="0" borderId="62" xfId="2" applyNumberFormat="1" applyFont="1" applyFill="1" applyBorder="1" applyAlignment="1">
      <alignment horizontal="center" vertical="center" wrapText="1" shrinkToFit="1"/>
    </xf>
    <xf numFmtId="0" fontId="11" fillId="0" borderId="62"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0" fontId="11" fillId="0" borderId="62" xfId="2" applyNumberFormat="1" applyFont="1" applyFill="1" applyBorder="1" applyAlignment="1">
      <alignment horizontal="center" vertical="center" wrapText="1"/>
    </xf>
    <xf numFmtId="49" fontId="37" fillId="0" borderId="62" xfId="49" applyNumberFormat="1" applyFont="1" applyBorder="1" applyAlignment="1">
      <alignment horizontal="center" vertical="center" wrapText="1"/>
    </xf>
    <xf numFmtId="167" fontId="37" fillId="0" borderId="62" xfId="49" applyNumberFormat="1" applyFont="1" applyBorder="1" applyAlignment="1">
      <alignment horizontal="center" vertical="center" wrapText="1"/>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wrapText="1"/>
    </xf>
    <xf numFmtId="49" fontId="37" fillId="0" borderId="62" xfId="49" applyNumberFormat="1" applyFont="1" applyBorder="1" applyAlignment="1">
      <alignment horizontal="center" vertical="center"/>
    </xf>
    <xf numFmtId="167"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4" fontId="11" fillId="0" borderId="63" xfId="2" applyNumberFormat="1" applyFont="1" applyFill="1" applyBorder="1" applyAlignment="1">
      <alignment horizontal="center" vertical="center" wrapText="1" shrinkToFit="1"/>
    </xf>
    <xf numFmtId="175" fontId="42" fillId="0" borderId="64" xfId="2" applyNumberFormat="1" applyFont="1" applyFill="1" applyBorder="1" applyAlignment="1">
      <alignment horizontal="center" vertical="center" wrapText="1"/>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0" fillId="0" borderId="0" xfId="1" applyFont="1" applyFill="1" applyAlignment="1">
      <alignment horizontal="center" vertical="center"/>
    </xf>
    <xf numFmtId="0" fontId="38"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2"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6" xfId="62" applyFont="1" applyBorder="1" applyAlignment="1">
      <alignment horizontal="center" vertical="center"/>
    </xf>
    <xf numFmtId="0" fontId="11" fillId="0" borderId="2" xfId="62" applyFont="1" applyBorder="1" applyAlignment="1">
      <alignment horizontal="center" vertical="center"/>
    </xf>
    <xf numFmtId="0" fontId="11" fillId="0" borderId="56"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3" fillId="0" borderId="48" xfId="0" applyFont="1" applyFill="1" applyBorder="1" applyAlignment="1">
      <alignment horizontal="left" vertical="center"/>
    </xf>
    <xf numFmtId="0" fontId="83" fillId="0" borderId="49" xfId="0" applyFont="1" applyFill="1" applyBorder="1" applyAlignment="1">
      <alignment horizontal="left" vertical="center"/>
    </xf>
    <xf numFmtId="0" fontId="83" fillId="0" borderId="53" xfId="0" applyFont="1" applyFill="1" applyBorder="1" applyAlignment="1">
      <alignment horizontal="left" vertical="center"/>
    </xf>
    <xf numFmtId="0" fontId="36" fillId="0" borderId="0" xfId="49" applyFont="1" applyAlignment="1">
      <alignment horizontal="center"/>
    </xf>
    <xf numFmtId="0" fontId="39" fillId="0" borderId="55"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0" fontId="5" fillId="0" borderId="0" xfId="1" applyNumberFormat="1" applyFont="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52" xfId="2" applyFont="1" applyFill="1" applyBorder="1" applyAlignment="1">
      <alignment horizontal="center" vertical="center" wrapText="1"/>
    </xf>
    <xf numFmtId="0" fontId="42" fillId="0" borderId="52" xfId="2" applyNumberFormat="1" applyFont="1" applyFill="1" applyBorder="1" applyAlignment="1">
      <alignment horizontal="center" vertical="center" wrapText="1"/>
    </xf>
    <xf numFmtId="0" fontId="42" fillId="0" borderId="52"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2"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1" applyFont="1" applyAlignment="1">
      <alignment horizont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859363702742955"/>
          <c:h val="0.7937170529740121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-316994.33666549803</c:v>
                </c:pt>
                <c:pt idx="1">
                  <c:v>-10195682.706844974</c:v>
                </c:pt>
                <c:pt idx="2">
                  <c:v>0</c:v>
                </c:pt>
                <c:pt idx="3">
                  <c:v>369330.65187397064</c:v>
                </c:pt>
                <c:pt idx="4">
                  <c:v>419792.60206546361</c:v>
                </c:pt>
                <c:pt idx="5">
                  <c:v>498460106.00834149</c:v>
                </c:pt>
                <c:pt idx="6">
                  <c:v>560519.06004660949</c:v>
                </c:pt>
                <c:pt idx="7">
                  <c:v>455762.95784370019</c:v>
                </c:pt>
                <c:pt idx="8">
                  <c:v>484624.52348448546</c:v>
                </c:pt>
                <c:pt idx="9">
                  <c:v>450700.75204304053</c:v>
                </c:pt>
                <c:pt idx="10">
                  <c:v>419197.77857348294</c:v>
                </c:pt>
                <c:pt idx="11">
                  <c:v>389938.10533637647</c:v>
                </c:pt>
              </c:numCache>
            </c:numRef>
          </c:val>
          <c:smooth val="0"/>
          <c:extLst>
            <c:ext xmlns:c16="http://schemas.microsoft.com/office/drawing/2014/chart" uri="{C3380CC4-5D6E-409C-BE32-E72D297353CC}">
              <c16:uniqueId val="{00000000-635F-47CB-BC1A-BA2E519F413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-316994.33666549803</c:v>
                </c:pt>
                <c:pt idx="1">
                  <c:v>-10512677.043510472</c:v>
                </c:pt>
                <c:pt idx="2">
                  <c:v>-10512677.043510472</c:v>
                </c:pt>
                <c:pt idx="3">
                  <c:v>-10143346.391636502</c:v>
                </c:pt>
                <c:pt idx="4">
                  <c:v>-9723553.7895710375</c:v>
                </c:pt>
                <c:pt idx="5">
                  <c:v>488736552.21877044</c:v>
                </c:pt>
                <c:pt idx="6">
                  <c:v>489297071.27881706</c:v>
                </c:pt>
                <c:pt idx="7">
                  <c:v>489752834.23666078</c:v>
                </c:pt>
                <c:pt idx="8">
                  <c:v>490237458.76014525</c:v>
                </c:pt>
                <c:pt idx="9">
                  <c:v>490688159.51218832</c:v>
                </c:pt>
                <c:pt idx="10">
                  <c:v>491107357.29076177</c:v>
                </c:pt>
                <c:pt idx="11">
                  <c:v>491497295.39609814</c:v>
                </c:pt>
              </c:numCache>
            </c:numRef>
          </c:val>
          <c:smooth val="0"/>
          <c:extLst>
            <c:ext xmlns:c16="http://schemas.microsoft.com/office/drawing/2014/chart" uri="{C3380CC4-5D6E-409C-BE32-E72D297353CC}">
              <c16:uniqueId val="{00000000-4A39-4BCD-9476-617AE14B1635}"/>
            </c:ext>
          </c:extLst>
        </c:ser>
        <c:dLbls>
          <c:showLegendKey val="0"/>
          <c:showVal val="0"/>
          <c:showCatName val="0"/>
          <c:showSerName val="0"/>
          <c:showPercent val="0"/>
          <c:showBubbleSize val="0"/>
        </c:dLbls>
        <c:smooth val="0"/>
        <c:axId val="210434632"/>
        <c:axId val="210435024"/>
      </c:lineChart>
      <c:catAx>
        <c:axId val="210434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0435024"/>
        <c:crosses val="autoZero"/>
        <c:auto val="1"/>
        <c:lblAlgn val="ctr"/>
        <c:lblOffset val="100"/>
        <c:noMultiLvlLbl val="0"/>
      </c:catAx>
      <c:valAx>
        <c:axId val="2104350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0434632"/>
        <c:crosses val="autoZero"/>
        <c:crossBetween val="between"/>
      </c:valAx>
    </c:plotArea>
    <c:legend>
      <c:legendPos val="r"/>
      <c:layout>
        <c:manualLayout>
          <c:xMode val="edge"/>
          <c:yMode val="edge"/>
          <c:x val="0.10688771033560412"/>
          <c:y val="0.89000083443326816"/>
          <c:w val="0.85738440990589948"/>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57150</xdr:rowOff>
    </xdr:from>
    <xdr:to>
      <xdr:col>8</xdr:col>
      <xdr:colOff>0</xdr:colOff>
      <xdr:row>44</xdr:row>
      <xdr:rowOff>107156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08"/>
  <sheetViews>
    <sheetView view="pageBreakPreview" zoomScale="85" zoomScaleSheetLayoutView="85" workbookViewId="0">
      <selection activeCell="C23" sqref="C23"/>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0" t="s">
        <v>591</v>
      </c>
      <c r="B5" s="420"/>
      <c r="C5" s="420"/>
      <c r="D5" s="115"/>
      <c r="E5" s="115"/>
      <c r="F5" s="115"/>
      <c r="G5" s="115"/>
      <c r="H5" s="115"/>
      <c r="I5" s="115"/>
      <c r="J5" s="115"/>
    </row>
    <row r="6" spans="1:22" s="15" customFormat="1" ht="18.75" x14ac:dyDescent="0.3">
      <c r="A6" s="254"/>
      <c r="H6" s="253"/>
    </row>
    <row r="7" spans="1:22" s="15" customFormat="1" ht="18.75" x14ac:dyDescent="0.2">
      <c r="A7" s="424" t="s">
        <v>6</v>
      </c>
      <c r="B7" s="424"/>
      <c r="C7" s="424"/>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5" t="s">
        <v>526</v>
      </c>
      <c r="B9" s="425"/>
      <c r="C9" s="425"/>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1" t="s">
        <v>5</v>
      </c>
      <c r="B10" s="421"/>
      <c r="C10" s="421"/>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3" t="s">
        <v>571</v>
      </c>
      <c r="B12" s="426"/>
      <c r="C12" s="426"/>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1" t="s">
        <v>4</v>
      </c>
      <c r="B13" s="421"/>
      <c r="C13" s="421"/>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60" customFormat="1" ht="81" customHeight="1" x14ac:dyDescent="0.2">
      <c r="A15" s="427" t="s">
        <v>554</v>
      </c>
      <c r="B15" s="427"/>
      <c r="C15" s="427"/>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1" t="s">
        <v>3</v>
      </c>
      <c r="B16" s="421"/>
      <c r="C16" s="421"/>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2" t="s">
        <v>461</v>
      </c>
      <c r="B18" s="423"/>
      <c r="C18" s="423"/>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28" t="s">
        <v>2</v>
      </c>
      <c r="B20" s="310" t="s">
        <v>63</v>
      </c>
      <c r="C20" s="309" t="s">
        <v>62</v>
      </c>
      <c r="D20" s="263"/>
      <c r="E20" s="263"/>
      <c r="F20" s="263"/>
      <c r="G20" s="263"/>
      <c r="H20" s="263"/>
      <c r="I20" s="307"/>
      <c r="J20" s="307"/>
      <c r="K20" s="307"/>
      <c r="L20" s="307"/>
      <c r="M20" s="307"/>
      <c r="N20" s="307"/>
      <c r="O20" s="307"/>
      <c r="P20" s="307"/>
      <c r="Q20" s="307"/>
      <c r="R20" s="307"/>
      <c r="S20" s="307"/>
      <c r="T20" s="264"/>
      <c r="U20" s="264"/>
      <c r="V20" s="264"/>
    </row>
    <row r="21" spans="1:22" s="260" customFormat="1" ht="16.5" customHeight="1" x14ac:dyDescent="0.2">
      <c r="A21" s="309">
        <v>1</v>
      </c>
      <c r="B21" s="310">
        <v>2</v>
      </c>
      <c r="C21" s="309">
        <v>3</v>
      </c>
      <c r="D21" s="263"/>
      <c r="E21" s="263"/>
      <c r="F21" s="263"/>
      <c r="G21" s="263"/>
      <c r="H21" s="263"/>
      <c r="I21" s="307"/>
      <c r="J21" s="307"/>
      <c r="K21" s="307"/>
      <c r="L21" s="307"/>
      <c r="M21" s="307"/>
      <c r="N21" s="307"/>
      <c r="O21" s="307"/>
      <c r="P21" s="307"/>
      <c r="Q21" s="307"/>
      <c r="R21" s="307"/>
      <c r="S21" s="307"/>
      <c r="T21" s="264"/>
      <c r="U21" s="264"/>
      <c r="V21" s="264"/>
    </row>
    <row r="22" spans="1:22" s="260" customFormat="1" ht="30.75" customHeight="1" x14ac:dyDescent="0.2">
      <c r="A22" s="345" t="s">
        <v>61</v>
      </c>
      <c r="B22" s="346" t="s">
        <v>306</v>
      </c>
      <c r="C22" s="329" t="s">
        <v>509</v>
      </c>
      <c r="D22" s="263"/>
      <c r="E22" s="263"/>
      <c r="F22" s="263"/>
      <c r="G22" s="263"/>
      <c r="H22" s="263"/>
      <c r="I22" s="341"/>
      <c r="J22" s="341"/>
      <c r="K22" s="341"/>
      <c r="L22" s="341"/>
      <c r="M22" s="341"/>
      <c r="N22" s="341"/>
      <c r="O22" s="341"/>
      <c r="P22" s="341"/>
      <c r="Q22" s="341"/>
      <c r="R22" s="341"/>
      <c r="S22" s="341"/>
      <c r="T22" s="264"/>
      <c r="U22" s="264"/>
      <c r="V22" s="264"/>
    </row>
    <row r="23" spans="1:22" s="260" customFormat="1" ht="78.75" x14ac:dyDescent="0.2">
      <c r="A23" s="344" t="s">
        <v>60</v>
      </c>
      <c r="B23" s="343" t="s">
        <v>510</v>
      </c>
      <c r="C23" s="329" t="s">
        <v>553</v>
      </c>
      <c r="D23" s="263"/>
      <c r="E23" s="263"/>
      <c r="F23" s="263"/>
      <c r="G23" s="263"/>
      <c r="H23" s="263"/>
      <c r="I23" s="307"/>
      <c r="J23" s="307"/>
      <c r="K23" s="307"/>
      <c r="L23" s="307"/>
      <c r="M23" s="307"/>
      <c r="N23" s="307"/>
      <c r="O23" s="307"/>
      <c r="P23" s="307"/>
      <c r="Q23" s="307"/>
      <c r="R23" s="307"/>
      <c r="S23" s="307"/>
      <c r="T23" s="264"/>
      <c r="U23" s="264"/>
      <c r="V23" s="264"/>
    </row>
    <row r="24" spans="1:22" s="260" customFormat="1" ht="22.5" customHeight="1" x14ac:dyDescent="0.2">
      <c r="A24" s="417"/>
      <c r="B24" s="418"/>
      <c r="C24" s="419"/>
      <c r="D24" s="263"/>
      <c r="E24" s="263"/>
      <c r="F24" s="263"/>
      <c r="G24" s="263"/>
      <c r="H24" s="263"/>
      <c r="I24" s="307"/>
      <c r="J24" s="307"/>
      <c r="K24" s="307"/>
      <c r="L24" s="307"/>
      <c r="M24" s="307"/>
      <c r="N24" s="307"/>
      <c r="O24" s="307"/>
      <c r="P24" s="307"/>
      <c r="Q24" s="307"/>
      <c r="R24" s="307"/>
      <c r="S24" s="307"/>
      <c r="T24" s="264"/>
      <c r="U24" s="264"/>
      <c r="V24" s="264"/>
    </row>
    <row r="25" spans="1:22" s="260" customFormat="1" ht="58.5" customHeight="1" x14ac:dyDescent="0.2">
      <c r="A25" s="308" t="s">
        <v>59</v>
      </c>
      <c r="B25" s="329" t="s">
        <v>410</v>
      </c>
      <c r="C25" s="328" t="s">
        <v>513</v>
      </c>
      <c r="D25" s="263"/>
      <c r="E25" s="263"/>
      <c r="F25" s="263"/>
      <c r="G25" s="263"/>
      <c r="H25" s="307"/>
      <c r="I25" s="307"/>
      <c r="J25" s="307"/>
      <c r="K25" s="307"/>
      <c r="L25" s="307"/>
      <c r="M25" s="307"/>
      <c r="N25" s="307"/>
      <c r="O25" s="307"/>
      <c r="P25" s="307"/>
      <c r="Q25" s="307"/>
      <c r="R25" s="307"/>
      <c r="S25" s="264"/>
      <c r="T25" s="264"/>
      <c r="U25" s="264"/>
      <c r="V25" s="264"/>
    </row>
    <row r="26" spans="1:22" s="260" customFormat="1" ht="42.75" customHeight="1" x14ac:dyDescent="0.2">
      <c r="A26" s="308" t="s">
        <v>58</v>
      </c>
      <c r="B26" s="329" t="s">
        <v>71</v>
      </c>
      <c r="C26" s="328" t="s">
        <v>478</v>
      </c>
      <c r="D26" s="263"/>
      <c r="E26" s="263"/>
      <c r="F26" s="263"/>
      <c r="G26" s="263"/>
      <c r="H26" s="307"/>
      <c r="I26" s="307"/>
      <c r="J26" s="307"/>
      <c r="K26" s="307"/>
      <c r="L26" s="307"/>
      <c r="M26" s="307"/>
      <c r="N26" s="307"/>
      <c r="O26" s="307"/>
      <c r="P26" s="307"/>
      <c r="Q26" s="307"/>
      <c r="R26" s="307"/>
      <c r="S26" s="264"/>
      <c r="T26" s="264"/>
      <c r="U26" s="264"/>
      <c r="V26" s="264"/>
    </row>
    <row r="27" spans="1:22" s="260" customFormat="1" ht="51.75" customHeight="1" x14ac:dyDescent="0.2">
      <c r="A27" s="308" t="s">
        <v>56</v>
      </c>
      <c r="B27" s="329" t="s">
        <v>70</v>
      </c>
      <c r="C27" s="330" t="s">
        <v>531</v>
      </c>
      <c r="D27" s="263"/>
      <c r="E27" s="263"/>
      <c r="F27" s="263"/>
      <c r="G27" s="263"/>
      <c r="H27" s="307"/>
      <c r="I27" s="307"/>
      <c r="J27" s="307"/>
      <c r="K27" s="307"/>
      <c r="L27" s="307"/>
      <c r="M27" s="307"/>
      <c r="N27" s="307"/>
      <c r="O27" s="307"/>
      <c r="P27" s="307"/>
      <c r="Q27" s="307"/>
      <c r="R27" s="307"/>
      <c r="S27" s="264"/>
      <c r="T27" s="264"/>
      <c r="U27" s="264"/>
      <c r="V27" s="264"/>
    </row>
    <row r="28" spans="1:22" s="260" customFormat="1" ht="42.75" customHeight="1" x14ac:dyDescent="0.2">
      <c r="A28" s="308" t="s">
        <v>55</v>
      </c>
      <c r="B28" s="329" t="s">
        <v>411</v>
      </c>
      <c r="C28" s="328" t="s">
        <v>479</v>
      </c>
      <c r="D28" s="263"/>
      <c r="E28" s="263"/>
      <c r="F28" s="263"/>
      <c r="G28" s="263"/>
      <c r="H28" s="307"/>
      <c r="I28" s="307"/>
      <c r="J28" s="307"/>
      <c r="K28" s="307"/>
      <c r="L28" s="307"/>
      <c r="M28" s="307"/>
      <c r="N28" s="307"/>
      <c r="O28" s="307"/>
      <c r="P28" s="307"/>
      <c r="Q28" s="307"/>
      <c r="R28" s="307"/>
      <c r="S28" s="264"/>
      <c r="T28" s="264"/>
      <c r="U28" s="264"/>
      <c r="V28" s="264"/>
    </row>
    <row r="29" spans="1:22" s="260" customFormat="1" ht="51.75" customHeight="1" x14ac:dyDescent="0.2">
      <c r="A29" s="308" t="s">
        <v>53</v>
      </c>
      <c r="B29" s="329" t="s">
        <v>412</v>
      </c>
      <c r="C29" s="328" t="s">
        <v>479</v>
      </c>
      <c r="D29" s="263"/>
      <c r="E29" s="263"/>
      <c r="F29" s="263"/>
      <c r="G29" s="263"/>
      <c r="H29" s="307"/>
      <c r="I29" s="307"/>
      <c r="J29" s="307"/>
      <c r="K29" s="307"/>
      <c r="L29" s="307"/>
      <c r="M29" s="307"/>
      <c r="N29" s="307"/>
      <c r="O29" s="307"/>
      <c r="P29" s="307"/>
      <c r="Q29" s="307"/>
      <c r="R29" s="307"/>
      <c r="S29" s="264"/>
      <c r="T29" s="264"/>
      <c r="U29" s="264"/>
      <c r="V29" s="264"/>
    </row>
    <row r="30" spans="1:22" s="260" customFormat="1" ht="51.75" customHeight="1" x14ac:dyDescent="0.2">
      <c r="A30" s="308" t="s">
        <v>51</v>
      </c>
      <c r="B30" s="329" t="s">
        <v>413</v>
      </c>
      <c r="C30" s="328" t="s">
        <v>479</v>
      </c>
      <c r="D30" s="263"/>
      <c r="E30" s="263"/>
      <c r="F30" s="263"/>
      <c r="G30" s="263"/>
      <c r="H30" s="307"/>
      <c r="I30" s="307"/>
      <c r="J30" s="307"/>
      <c r="K30" s="307"/>
      <c r="L30" s="307"/>
      <c r="M30" s="307"/>
      <c r="N30" s="307"/>
      <c r="O30" s="307"/>
      <c r="P30" s="307"/>
      <c r="Q30" s="307"/>
      <c r="R30" s="307"/>
      <c r="S30" s="264"/>
      <c r="T30" s="264"/>
      <c r="U30" s="264"/>
      <c r="V30" s="264"/>
    </row>
    <row r="31" spans="1:22" s="260" customFormat="1" ht="51.75" customHeight="1" x14ac:dyDescent="0.2">
      <c r="A31" s="308" t="s">
        <v>69</v>
      </c>
      <c r="B31" s="329" t="s">
        <v>414</v>
      </c>
      <c r="C31" s="328" t="s">
        <v>479</v>
      </c>
      <c r="D31" s="263"/>
      <c r="E31" s="263"/>
      <c r="F31" s="263"/>
      <c r="G31" s="263"/>
      <c r="H31" s="307"/>
      <c r="I31" s="307"/>
      <c r="J31" s="307"/>
      <c r="K31" s="307"/>
      <c r="L31" s="307"/>
      <c r="M31" s="307"/>
      <c r="N31" s="307"/>
      <c r="O31" s="307"/>
      <c r="P31" s="307"/>
      <c r="Q31" s="307"/>
      <c r="R31" s="307"/>
      <c r="S31" s="264"/>
      <c r="T31" s="264"/>
      <c r="U31" s="264"/>
      <c r="V31" s="264"/>
    </row>
    <row r="32" spans="1:22" s="260" customFormat="1" ht="51.75" customHeight="1" x14ac:dyDescent="0.2">
      <c r="A32" s="308" t="s">
        <v>67</v>
      </c>
      <c r="B32" s="329" t="s">
        <v>415</v>
      </c>
      <c r="C32" s="328" t="s">
        <v>479</v>
      </c>
      <c r="D32" s="263"/>
      <c r="E32" s="263"/>
      <c r="F32" s="263"/>
      <c r="G32" s="263"/>
      <c r="H32" s="307"/>
      <c r="I32" s="307"/>
      <c r="J32" s="307"/>
      <c r="K32" s="307"/>
      <c r="L32" s="307"/>
      <c r="M32" s="307"/>
      <c r="N32" s="307"/>
      <c r="O32" s="307"/>
      <c r="P32" s="307"/>
      <c r="Q32" s="307"/>
      <c r="R32" s="307"/>
      <c r="S32" s="264"/>
      <c r="T32" s="264"/>
      <c r="U32" s="264"/>
      <c r="V32" s="264"/>
    </row>
    <row r="33" spans="1:22" s="260" customFormat="1" ht="101.25" customHeight="1" x14ac:dyDescent="0.2">
      <c r="A33" s="308" t="s">
        <v>66</v>
      </c>
      <c r="B33" s="329" t="s">
        <v>416</v>
      </c>
      <c r="C33" s="329" t="s">
        <v>532</v>
      </c>
      <c r="D33" s="263"/>
      <c r="E33" s="263"/>
      <c r="F33" s="263"/>
      <c r="G33" s="263"/>
      <c r="H33" s="307"/>
      <c r="I33" s="307"/>
      <c r="J33" s="307"/>
      <c r="K33" s="307"/>
      <c r="L33" s="307"/>
      <c r="M33" s="307"/>
      <c r="N33" s="307"/>
      <c r="O33" s="307"/>
      <c r="P33" s="307"/>
      <c r="Q33" s="307"/>
      <c r="R33" s="307"/>
      <c r="S33" s="264"/>
      <c r="T33" s="264"/>
      <c r="U33" s="264"/>
      <c r="V33" s="264"/>
    </row>
    <row r="34" spans="1:22" ht="111" customHeight="1" x14ac:dyDescent="0.25">
      <c r="A34" s="308" t="s">
        <v>430</v>
      </c>
      <c r="B34" s="329" t="s">
        <v>417</v>
      </c>
      <c r="C34" s="328" t="s">
        <v>532</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308" t="s">
        <v>420</v>
      </c>
      <c r="B35" s="329" t="s">
        <v>68</v>
      </c>
      <c r="C35" s="328" t="s">
        <v>511</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308" t="s">
        <v>431</v>
      </c>
      <c r="B36" s="329" t="s">
        <v>418</v>
      </c>
      <c r="C36" s="328" t="s">
        <v>479</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308" t="s">
        <v>421</v>
      </c>
      <c r="B37" s="329" t="s">
        <v>419</v>
      </c>
      <c r="C37" s="328" t="s">
        <v>592</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308" t="s">
        <v>432</v>
      </c>
      <c r="B38" s="329" t="s">
        <v>227</v>
      </c>
      <c r="C38" s="328" t="s">
        <v>511</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17"/>
      <c r="B39" s="418"/>
      <c r="C39" s="419"/>
      <c r="D39" s="265"/>
      <c r="E39" s="265"/>
      <c r="F39" s="265"/>
      <c r="G39" s="265"/>
      <c r="H39" s="265"/>
      <c r="I39" s="265"/>
      <c r="J39" s="265"/>
      <c r="K39" s="265"/>
      <c r="L39" s="265"/>
      <c r="M39" s="265"/>
      <c r="N39" s="265"/>
      <c r="O39" s="265"/>
      <c r="P39" s="265"/>
      <c r="Q39" s="265"/>
      <c r="R39" s="265"/>
      <c r="S39" s="265"/>
      <c r="T39" s="265"/>
      <c r="U39" s="265"/>
      <c r="V39" s="265"/>
    </row>
    <row r="40" spans="1:22" ht="63" x14ac:dyDescent="0.25">
      <c r="A40" s="308" t="s">
        <v>422</v>
      </c>
      <c r="B40" s="329" t="s">
        <v>474</v>
      </c>
      <c r="C40" s="331" t="s">
        <v>547</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308" t="s">
        <v>433</v>
      </c>
      <c r="B41" s="329" t="s">
        <v>456</v>
      </c>
      <c r="C41" s="332" t="s">
        <v>512</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308" t="s">
        <v>423</v>
      </c>
      <c r="B42" s="329" t="s">
        <v>471</v>
      </c>
      <c r="C42" s="332" t="s">
        <v>512</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308" t="s">
        <v>436</v>
      </c>
      <c r="B43" s="329" t="s">
        <v>437</v>
      </c>
      <c r="C43" s="332" t="s">
        <v>513</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308" t="s">
        <v>424</v>
      </c>
      <c r="B44" s="329" t="s">
        <v>462</v>
      </c>
      <c r="C44" s="266" t="s">
        <v>513</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308" t="s">
        <v>457</v>
      </c>
      <c r="B45" s="329" t="s">
        <v>463</v>
      </c>
      <c r="C45" s="332" t="s">
        <v>513</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308" t="s">
        <v>425</v>
      </c>
      <c r="B46" s="329" t="s">
        <v>464</v>
      </c>
      <c r="C46" s="385" t="s">
        <v>569</v>
      </c>
      <c r="D46" s="265"/>
      <c r="E46" s="333"/>
      <c r="F46" s="265"/>
      <c r="G46" s="265"/>
      <c r="H46" s="265"/>
      <c r="I46" s="265"/>
      <c r="J46" s="265"/>
      <c r="K46" s="265"/>
      <c r="L46" s="265"/>
      <c r="M46" s="265"/>
      <c r="N46" s="265"/>
      <c r="O46" s="265"/>
      <c r="P46" s="265"/>
      <c r="Q46" s="265"/>
      <c r="R46" s="265"/>
      <c r="S46" s="265"/>
      <c r="T46" s="265"/>
      <c r="U46" s="265"/>
      <c r="V46" s="265"/>
    </row>
    <row r="47" spans="1:22" ht="18.75" customHeight="1" x14ac:dyDescent="0.25">
      <c r="A47" s="417"/>
      <c r="B47" s="418"/>
      <c r="C47" s="419"/>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308" t="s">
        <v>458</v>
      </c>
      <c r="B48" s="329" t="s">
        <v>472</v>
      </c>
      <c r="C48" s="334" t="str">
        <f>CONCATENATE(ROUND('6.2. Паспорт фин осв ввод'!AC24,2)," млн рублей")</f>
        <v>0,26 млн рублей</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308" t="s">
        <v>426</v>
      </c>
      <c r="B49" s="329" t="s">
        <v>473</v>
      </c>
      <c r="C49" s="334" t="str">
        <f>CONCATENATE(ROUND('6.2. Паспорт фин осв ввод'!AC30,2)," млн рублей")</f>
        <v>0,26 млн рублей</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sheetData>
  <mergeCells count="12">
    <mergeCell ref="A47:C47"/>
    <mergeCell ref="A5:C5"/>
    <mergeCell ref="A16:C16"/>
    <mergeCell ref="A18:C18"/>
    <mergeCell ref="A7:C7"/>
    <mergeCell ref="A9:C9"/>
    <mergeCell ref="A10:C10"/>
    <mergeCell ref="A12:C12"/>
    <mergeCell ref="A13:C13"/>
    <mergeCell ref="A15:C15"/>
    <mergeCell ref="A24:C24"/>
    <mergeCell ref="A39:C39"/>
  </mergeCells>
  <dataValidations count="6">
    <dataValidation type="list" allowBlank="1" showInputMessage="1" showErrorMessage="1" sqref="C35" xr:uid="{00000000-0002-0000-0000-000000000000}">
      <formula1>список5</formula1>
    </dataValidation>
    <dataValidation type="list" allowBlank="1" showInputMessage="1" showErrorMessage="1" sqref="C33:C34" xr:uid="{00000000-0002-0000-0000-000001000000}">
      <formula1>список7</formula1>
    </dataValidation>
    <dataValidation type="list" allowBlank="1" showInputMessage="1" showErrorMessage="1" sqref="C36:C38 C28:C32" xr:uid="{00000000-0002-0000-0000-000002000000}">
      <formula1>список6</formula1>
    </dataValidation>
    <dataValidation type="list" allowBlank="1" showInputMessage="1" showErrorMessage="1" sqref="C27" xr:uid="{00000000-0002-0000-0000-000003000000}">
      <formula1>список2</formula1>
    </dataValidation>
    <dataValidation type="list" allowBlank="1" showInputMessage="1" showErrorMessage="1" sqref="C22" xr:uid="{00000000-0002-0000-0000-000004000000}">
      <formula1>список</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50" customWidth="1"/>
    <col min="8" max="27" width="9" style="50" customWidth="1"/>
    <col min="28" max="28" width="13.140625" style="49" customWidth="1"/>
    <col min="29" max="29" width="24.85546875" style="49" customWidth="1"/>
    <col min="30" max="30" width="15" style="49" customWidth="1"/>
    <col min="31" max="31" width="11" style="49" bestFit="1" customWidth="1"/>
    <col min="32" max="16384" width="9.140625" style="49"/>
  </cols>
  <sheetData>
    <row r="1" spans="1:29" ht="18.75" x14ac:dyDescent="0.25">
      <c r="A1" s="50"/>
      <c r="B1" s="50"/>
      <c r="C1" s="50"/>
      <c r="D1" s="50"/>
      <c r="E1" s="50"/>
      <c r="F1" s="50"/>
      <c r="AC1" s="32" t="s">
        <v>65</v>
      </c>
    </row>
    <row r="2" spans="1:29" ht="18.75" x14ac:dyDescent="0.3">
      <c r="A2" s="50"/>
      <c r="B2" s="50"/>
      <c r="C2" s="50"/>
      <c r="D2" s="50"/>
      <c r="E2" s="50"/>
      <c r="F2" s="50"/>
      <c r="AC2" s="14" t="s">
        <v>7</v>
      </c>
    </row>
    <row r="3" spans="1:29" ht="18.75" x14ac:dyDescent="0.3">
      <c r="A3" s="50"/>
      <c r="B3" s="50"/>
      <c r="C3" s="50"/>
      <c r="D3" s="50"/>
      <c r="E3" s="50"/>
      <c r="F3" s="50"/>
      <c r="AC3" s="14" t="s">
        <v>64</v>
      </c>
    </row>
    <row r="4" spans="1:29" ht="18.75" customHeight="1" x14ac:dyDescent="0.25">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row>
    <row r="5" spans="1:29" ht="18.75" x14ac:dyDescent="0.3">
      <c r="A5" s="50"/>
      <c r="B5" s="50"/>
      <c r="C5" s="50"/>
      <c r="D5" s="50"/>
      <c r="E5" s="50"/>
      <c r="F5" s="50"/>
      <c r="AC5" s="14"/>
    </row>
    <row r="6" spans="1:29" ht="18.75" x14ac:dyDescent="0.25">
      <c r="A6" s="429" t="s">
        <v>6</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row>
    <row r="7" spans="1:29" ht="18.75" x14ac:dyDescent="0.25">
      <c r="A7" s="109"/>
      <c r="B7" s="109"/>
      <c r="C7" s="109"/>
      <c r="D7" s="109"/>
      <c r="E7" s="109"/>
      <c r="F7" s="109"/>
      <c r="G7" s="109"/>
      <c r="H7" s="109"/>
      <c r="I7" s="109"/>
      <c r="J7" s="61"/>
      <c r="K7" s="61"/>
      <c r="L7" s="61"/>
      <c r="M7" s="61"/>
      <c r="N7" s="61"/>
      <c r="O7" s="61"/>
      <c r="P7" s="61"/>
      <c r="Q7" s="61"/>
      <c r="R7" s="61"/>
      <c r="S7" s="61"/>
      <c r="T7" s="61"/>
      <c r="U7" s="61"/>
      <c r="V7" s="61"/>
      <c r="W7" s="61"/>
      <c r="X7" s="61"/>
      <c r="Y7" s="61"/>
      <c r="Z7" s="61"/>
      <c r="AA7" s="61"/>
      <c r="AB7" s="61"/>
      <c r="AC7" s="61"/>
    </row>
    <row r="8" spans="1:29" x14ac:dyDescent="0.25">
      <c r="A8" s="430" t="str">
        <f>'1. паспорт местоположение'!A9:C9</f>
        <v>Акционерное общество "Россети Янтарь"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row>
    <row r="10" spans="1:29" ht="18.75" x14ac:dyDescent="0.25">
      <c r="A10" s="109"/>
      <c r="B10" s="109"/>
      <c r="C10" s="109"/>
      <c r="D10" s="109"/>
      <c r="E10" s="109"/>
      <c r="F10" s="109"/>
      <c r="G10" s="109"/>
      <c r="H10" s="109"/>
      <c r="I10" s="109"/>
      <c r="J10" s="61"/>
      <c r="K10" s="61"/>
      <c r="L10" s="61"/>
      <c r="M10" s="61"/>
      <c r="N10" s="61"/>
      <c r="O10" s="61"/>
      <c r="P10" s="61"/>
      <c r="Q10" s="61"/>
      <c r="R10" s="61"/>
      <c r="S10" s="61"/>
      <c r="T10" s="61"/>
      <c r="U10" s="61"/>
      <c r="V10" s="61"/>
      <c r="W10" s="61"/>
      <c r="X10" s="61"/>
      <c r="Y10" s="61"/>
      <c r="Z10" s="61"/>
      <c r="AA10" s="61"/>
      <c r="AB10" s="61"/>
      <c r="AC10" s="61"/>
    </row>
    <row r="11" spans="1:29" x14ac:dyDescent="0.25">
      <c r="A11" s="430" t="str">
        <f>'1. паспорт местоположение'!A12:C12</f>
        <v>N_18-0871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row>
    <row r="13" spans="1:29" ht="16.5" customHeight="1" x14ac:dyDescent="0.3">
      <c r="A13" s="10"/>
      <c r="B13" s="10"/>
      <c r="C13" s="10"/>
      <c r="D13" s="10"/>
      <c r="E13" s="10"/>
      <c r="F13" s="10"/>
      <c r="G13" s="10"/>
      <c r="H13" s="10"/>
      <c r="I13" s="10"/>
      <c r="J13" s="60"/>
      <c r="K13" s="60"/>
      <c r="L13" s="60"/>
      <c r="M13" s="60"/>
      <c r="N13" s="60"/>
      <c r="O13" s="60"/>
      <c r="P13" s="60"/>
      <c r="Q13" s="60"/>
      <c r="R13" s="60"/>
      <c r="S13" s="60"/>
      <c r="T13" s="60"/>
      <c r="U13" s="60"/>
      <c r="V13" s="60"/>
      <c r="W13" s="60"/>
      <c r="X13" s="60"/>
      <c r="Y13" s="60"/>
      <c r="Z13" s="60"/>
      <c r="AA13" s="60"/>
      <c r="AB13" s="60"/>
      <c r="AC13" s="60"/>
    </row>
    <row r="14" spans="1:29" ht="45.75" customHeight="1" x14ac:dyDescent="0.25">
      <c r="A14" s="52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4" s="520"/>
      <c r="C14" s="520"/>
      <c r="D14" s="520"/>
      <c r="E14" s="520"/>
      <c r="F14" s="520"/>
      <c r="G14" s="520"/>
      <c r="H14" s="520"/>
      <c r="I14" s="520"/>
      <c r="J14" s="520"/>
      <c r="K14" s="520"/>
      <c r="L14" s="520"/>
      <c r="M14" s="520"/>
      <c r="N14" s="520"/>
      <c r="O14" s="520"/>
      <c r="P14" s="520"/>
      <c r="Q14" s="520"/>
      <c r="R14" s="520"/>
      <c r="S14" s="520"/>
      <c r="T14" s="520"/>
      <c r="U14" s="520"/>
      <c r="V14" s="520"/>
      <c r="W14" s="520"/>
      <c r="X14" s="520"/>
      <c r="Y14" s="520"/>
      <c r="Z14" s="520"/>
      <c r="AA14" s="520"/>
      <c r="AB14" s="520"/>
      <c r="AC14" s="520"/>
    </row>
    <row r="15" spans="1:29" ht="15.75" customHeight="1" x14ac:dyDescent="0.25">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row>
    <row r="16" spans="1:29"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row>
    <row r="17" spans="1:32" x14ac:dyDescent="0.25">
      <c r="A17" s="50"/>
      <c r="AB17" s="50"/>
    </row>
    <row r="18" spans="1:32" x14ac:dyDescent="0.25">
      <c r="A18" s="522" t="s">
        <v>446</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A19" s="50"/>
      <c r="B19" s="50"/>
      <c r="C19" s="50"/>
      <c r="D19" s="50"/>
      <c r="E19" s="50"/>
      <c r="F19" s="50"/>
      <c r="AB19" s="50"/>
    </row>
    <row r="20" spans="1:32" ht="33" customHeight="1" x14ac:dyDescent="0.25">
      <c r="A20" s="512" t="s">
        <v>183</v>
      </c>
      <c r="B20" s="512" t="s">
        <v>182</v>
      </c>
      <c r="C20" s="511" t="s">
        <v>181</v>
      </c>
      <c r="D20" s="511"/>
      <c r="E20" s="514" t="s">
        <v>180</v>
      </c>
      <c r="F20" s="514"/>
      <c r="G20" s="517" t="s">
        <v>574</v>
      </c>
      <c r="H20" s="515" t="s">
        <v>561</v>
      </c>
      <c r="I20" s="516"/>
      <c r="J20" s="516"/>
      <c r="K20" s="516"/>
      <c r="L20" s="515" t="s">
        <v>562</v>
      </c>
      <c r="M20" s="516"/>
      <c r="N20" s="516"/>
      <c r="O20" s="516"/>
      <c r="P20" s="515" t="s">
        <v>563</v>
      </c>
      <c r="Q20" s="516"/>
      <c r="R20" s="516"/>
      <c r="S20" s="516"/>
      <c r="T20" s="515" t="s">
        <v>564</v>
      </c>
      <c r="U20" s="516"/>
      <c r="V20" s="516"/>
      <c r="W20" s="516"/>
      <c r="X20" s="515" t="s">
        <v>565</v>
      </c>
      <c r="Y20" s="516"/>
      <c r="Z20" s="516"/>
      <c r="AA20" s="516"/>
      <c r="AB20" s="523" t="s">
        <v>179</v>
      </c>
      <c r="AC20" s="523"/>
      <c r="AD20" s="59"/>
      <c r="AE20" s="59"/>
      <c r="AF20" s="59"/>
    </row>
    <row r="21" spans="1:32" ht="99.75" customHeight="1" x14ac:dyDescent="0.25">
      <c r="A21" s="513"/>
      <c r="B21" s="513"/>
      <c r="C21" s="511"/>
      <c r="D21" s="511"/>
      <c r="E21" s="514"/>
      <c r="F21" s="514"/>
      <c r="G21" s="518"/>
      <c r="H21" s="511" t="s">
        <v>1</v>
      </c>
      <c r="I21" s="511"/>
      <c r="J21" s="511" t="s">
        <v>8</v>
      </c>
      <c r="K21" s="511"/>
      <c r="L21" s="511" t="s">
        <v>1</v>
      </c>
      <c r="M21" s="511"/>
      <c r="N21" s="511" t="s">
        <v>8</v>
      </c>
      <c r="O21" s="511"/>
      <c r="P21" s="511" t="s">
        <v>1</v>
      </c>
      <c r="Q21" s="511"/>
      <c r="R21" s="511" t="s">
        <v>8</v>
      </c>
      <c r="S21" s="511"/>
      <c r="T21" s="511" t="s">
        <v>1</v>
      </c>
      <c r="U21" s="511"/>
      <c r="V21" s="511" t="s">
        <v>8</v>
      </c>
      <c r="W21" s="511"/>
      <c r="X21" s="511" t="s">
        <v>1</v>
      </c>
      <c r="Y21" s="511"/>
      <c r="Z21" s="511" t="s">
        <v>8</v>
      </c>
      <c r="AA21" s="511"/>
      <c r="AB21" s="523"/>
      <c r="AC21" s="523"/>
    </row>
    <row r="22" spans="1:32" ht="89.25" customHeight="1" x14ac:dyDescent="0.25">
      <c r="A22" s="503"/>
      <c r="B22" s="503"/>
      <c r="C22" s="364" t="s">
        <v>1</v>
      </c>
      <c r="D22" s="364" t="s">
        <v>177</v>
      </c>
      <c r="E22" s="365" t="s">
        <v>566</v>
      </c>
      <c r="F22" s="365" t="s">
        <v>594</v>
      </c>
      <c r="G22" s="519"/>
      <c r="H22" s="366" t="s">
        <v>427</v>
      </c>
      <c r="I22" s="366" t="s">
        <v>428</v>
      </c>
      <c r="J22" s="366" t="s">
        <v>427</v>
      </c>
      <c r="K22" s="366" t="s">
        <v>428</v>
      </c>
      <c r="L22" s="366" t="s">
        <v>427</v>
      </c>
      <c r="M22" s="366" t="s">
        <v>428</v>
      </c>
      <c r="N22" s="366" t="s">
        <v>427</v>
      </c>
      <c r="O22" s="366" t="s">
        <v>428</v>
      </c>
      <c r="P22" s="366" t="s">
        <v>427</v>
      </c>
      <c r="Q22" s="366" t="s">
        <v>428</v>
      </c>
      <c r="R22" s="366" t="s">
        <v>427</v>
      </c>
      <c r="S22" s="366" t="s">
        <v>428</v>
      </c>
      <c r="T22" s="366" t="s">
        <v>427</v>
      </c>
      <c r="U22" s="366" t="s">
        <v>428</v>
      </c>
      <c r="V22" s="366" t="s">
        <v>427</v>
      </c>
      <c r="W22" s="366" t="s">
        <v>428</v>
      </c>
      <c r="X22" s="366" t="s">
        <v>427</v>
      </c>
      <c r="Y22" s="366" t="s">
        <v>428</v>
      </c>
      <c r="Z22" s="366" t="s">
        <v>427</v>
      </c>
      <c r="AA22" s="366" t="s">
        <v>428</v>
      </c>
      <c r="AB22" s="364" t="s">
        <v>178</v>
      </c>
      <c r="AC22" s="364" t="s">
        <v>8</v>
      </c>
    </row>
    <row r="23" spans="1:32" ht="19.5" customHeight="1" x14ac:dyDescent="0.25">
      <c r="A23" s="367">
        <v>1</v>
      </c>
      <c r="B23" s="367">
        <v>2</v>
      </c>
      <c r="C23" s="367">
        <v>3</v>
      </c>
      <c r="D23" s="367">
        <v>4</v>
      </c>
      <c r="E23" s="367">
        <v>5</v>
      </c>
      <c r="F23" s="367">
        <v>6</v>
      </c>
      <c r="G23" s="367">
        <v>7</v>
      </c>
      <c r="H23" s="367">
        <v>8</v>
      </c>
      <c r="I23" s="367">
        <v>9</v>
      </c>
      <c r="J23" s="367">
        <v>10</v>
      </c>
      <c r="K23" s="367">
        <v>11</v>
      </c>
      <c r="L23" s="367">
        <v>12</v>
      </c>
      <c r="M23" s="367">
        <v>13</v>
      </c>
      <c r="N23" s="367">
        <v>14</v>
      </c>
      <c r="O23" s="367">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368">
        <v>1</v>
      </c>
      <c r="B24" s="369" t="s">
        <v>176</v>
      </c>
      <c r="C24" s="370">
        <f>SUM(C25:C29)</f>
        <v>14.89857965</v>
      </c>
      <c r="D24" s="370">
        <f t="shared" ref="D24" si="0">SUM(D25:D29)</f>
        <v>0</v>
      </c>
      <c r="E24" s="370">
        <f t="shared" ref="E24:AA24" si="1">SUM(E25:E29)</f>
        <v>14.89857965</v>
      </c>
      <c r="F24" s="416">
        <f t="shared" si="1"/>
        <v>14.89857965</v>
      </c>
      <c r="G24" s="370">
        <f t="shared" si="1"/>
        <v>0</v>
      </c>
      <c r="H24" s="370">
        <f t="shared" si="1"/>
        <v>0.40251640999999999</v>
      </c>
      <c r="I24" s="370">
        <f t="shared" ref="I24" si="2">SUM(I25:I29)</f>
        <v>0</v>
      </c>
      <c r="J24" s="370">
        <f t="shared" ref="J24:K24" si="3">SUM(J25:J29)</f>
        <v>0</v>
      </c>
      <c r="K24" s="370">
        <f t="shared" si="3"/>
        <v>0</v>
      </c>
      <c r="L24" s="370">
        <f t="shared" si="1"/>
        <v>7.9863897699999997</v>
      </c>
      <c r="M24" s="370">
        <f t="shared" si="1"/>
        <v>0</v>
      </c>
      <c r="N24" s="370">
        <f t="shared" ref="N24" si="4">SUM(N25:N29)</f>
        <v>0.26449813999999999</v>
      </c>
      <c r="O24" s="370">
        <f t="shared" si="1"/>
        <v>0.26449813999999999</v>
      </c>
      <c r="P24" s="370">
        <f t="shared" si="1"/>
        <v>6.5096734700000001</v>
      </c>
      <c r="Q24" s="370">
        <f t="shared" si="1"/>
        <v>0</v>
      </c>
      <c r="R24" s="370">
        <f t="shared" ref="R24" si="5">SUM(R25:R29)</f>
        <v>0</v>
      </c>
      <c r="S24" s="370">
        <f t="shared" ref="S24" si="6">SUM(S25:S29)</f>
        <v>0</v>
      </c>
      <c r="T24" s="370">
        <f t="shared" si="1"/>
        <v>0</v>
      </c>
      <c r="U24" s="370">
        <f t="shared" si="1"/>
        <v>0</v>
      </c>
      <c r="V24" s="370">
        <f t="shared" si="1"/>
        <v>0</v>
      </c>
      <c r="W24" s="370">
        <f t="shared" si="1"/>
        <v>0</v>
      </c>
      <c r="X24" s="370">
        <f>SUM(X25:X29)</f>
        <v>0</v>
      </c>
      <c r="Y24" s="370">
        <f t="shared" si="1"/>
        <v>0</v>
      </c>
      <c r="Z24" s="370">
        <f t="shared" si="1"/>
        <v>0</v>
      </c>
      <c r="AA24" s="370">
        <f t="shared" si="1"/>
        <v>0</v>
      </c>
      <c r="AB24" s="370">
        <f>H24+L24+P24+T24+X24</f>
        <v>14.898579649999999</v>
      </c>
      <c r="AC24" s="371">
        <f>J24+N24+R24+V24+Z24</f>
        <v>0.26449813999999999</v>
      </c>
    </row>
    <row r="25" spans="1:32" ht="24" customHeight="1" x14ac:dyDescent="0.25">
      <c r="A25" s="372" t="s">
        <v>175</v>
      </c>
      <c r="B25" s="373" t="s">
        <v>174</v>
      </c>
      <c r="C25" s="370">
        <v>0</v>
      </c>
      <c r="D25" s="370">
        <v>0</v>
      </c>
      <c r="E25" s="370">
        <f>C25</f>
        <v>0</v>
      </c>
      <c r="F25" s="416">
        <f>E25-G25-J25</f>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0">
        <f t="shared" ref="AB25:AB64" si="7">H25+L25+P25+T25+X25</f>
        <v>0</v>
      </c>
      <c r="AC25" s="371">
        <f t="shared" ref="AC25:AC64" si="8">J25+N25+R25+V25+Z25</f>
        <v>0</v>
      </c>
    </row>
    <row r="26" spans="1:32" x14ac:dyDescent="0.25">
      <c r="A26" s="372" t="s">
        <v>173</v>
      </c>
      <c r="B26" s="373" t="s">
        <v>172</v>
      </c>
      <c r="C26" s="370">
        <v>0</v>
      </c>
      <c r="D26" s="370">
        <v>0</v>
      </c>
      <c r="E26" s="370">
        <f>C26</f>
        <v>0</v>
      </c>
      <c r="F26" s="416">
        <f t="shared" ref="F26:F64" si="9">E26-G26-J26</f>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0">
        <f t="shared" si="7"/>
        <v>0</v>
      </c>
      <c r="AC26" s="371">
        <f t="shared" si="8"/>
        <v>0</v>
      </c>
    </row>
    <row r="27" spans="1:32" ht="31.5" x14ac:dyDescent="0.25">
      <c r="A27" s="372" t="s">
        <v>171</v>
      </c>
      <c r="B27" s="373" t="s">
        <v>383</v>
      </c>
      <c r="C27" s="370">
        <v>14.89857965</v>
      </c>
      <c r="D27" s="370">
        <v>0</v>
      </c>
      <c r="E27" s="370">
        <f>C27</f>
        <v>14.89857965</v>
      </c>
      <c r="F27" s="416">
        <f t="shared" si="9"/>
        <v>14.89857965</v>
      </c>
      <c r="G27" s="374">
        <v>0</v>
      </c>
      <c r="H27" s="374">
        <v>0.40251640999999999</v>
      </c>
      <c r="I27" s="374">
        <v>0</v>
      </c>
      <c r="J27" s="374">
        <v>0</v>
      </c>
      <c r="K27" s="374">
        <v>0</v>
      </c>
      <c r="L27" s="374">
        <v>7.9863897699999997</v>
      </c>
      <c r="M27" s="374">
        <v>0</v>
      </c>
      <c r="N27" s="374">
        <v>0.26449813999999999</v>
      </c>
      <c r="O27" s="374">
        <v>0.26449813999999999</v>
      </c>
      <c r="P27" s="374">
        <v>6.5096734700000001</v>
      </c>
      <c r="Q27" s="374">
        <v>0</v>
      </c>
      <c r="R27" s="374">
        <v>0</v>
      </c>
      <c r="S27" s="374">
        <v>0</v>
      </c>
      <c r="T27" s="374">
        <v>0</v>
      </c>
      <c r="U27" s="374">
        <v>0</v>
      </c>
      <c r="V27" s="375">
        <v>0</v>
      </c>
      <c r="W27" s="374">
        <v>0</v>
      </c>
      <c r="X27" s="374">
        <v>0</v>
      </c>
      <c r="Y27" s="374">
        <v>0</v>
      </c>
      <c r="Z27" s="374">
        <v>0</v>
      </c>
      <c r="AA27" s="374">
        <v>0</v>
      </c>
      <c r="AB27" s="370">
        <f t="shared" si="7"/>
        <v>14.898579649999999</v>
      </c>
      <c r="AC27" s="371">
        <f t="shared" si="8"/>
        <v>0.26449813999999999</v>
      </c>
    </row>
    <row r="28" spans="1:32" x14ac:dyDescent="0.25">
      <c r="A28" s="372" t="s">
        <v>170</v>
      </c>
      <c r="B28" s="373" t="s">
        <v>169</v>
      </c>
      <c r="C28" s="370">
        <v>0</v>
      </c>
      <c r="D28" s="370">
        <v>0</v>
      </c>
      <c r="E28" s="370">
        <f>C28</f>
        <v>0</v>
      </c>
      <c r="F28" s="416">
        <f t="shared" si="9"/>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0">
        <f t="shared" si="7"/>
        <v>0</v>
      </c>
      <c r="AC28" s="371">
        <f t="shared" si="8"/>
        <v>0</v>
      </c>
    </row>
    <row r="29" spans="1:32" x14ac:dyDescent="0.25">
      <c r="A29" s="372" t="s">
        <v>168</v>
      </c>
      <c r="B29" s="58" t="s">
        <v>167</v>
      </c>
      <c r="C29" s="370">
        <v>0</v>
      </c>
      <c r="D29" s="370">
        <v>0</v>
      </c>
      <c r="E29" s="370">
        <f>C29</f>
        <v>0</v>
      </c>
      <c r="F29" s="416">
        <f t="shared" si="9"/>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0">
        <f t="shared" si="7"/>
        <v>0</v>
      </c>
      <c r="AC29" s="371">
        <f t="shared" si="8"/>
        <v>0</v>
      </c>
    </row>
    <row r="30" spans="1:32" ht="47.25" x14ac:dyDescent="0.25">
      <c r="A30" s="368" t="s">
        <v>60</v>
      </c>
      <c r="B30" s="369" t="s">
        <v>166</v>
      </c>
      <c r="C30" s="370">
        <f t="shared" ref="C30:D30" si="10">SUM(C31:C34)</f>
        <v>12.415483040000002</v>
      </c>
      <c r="D30" s="370">
        <f t="shared" si="10"/>
        <v>0</v>
      </c>
      <c r="E30" s="370">
        <f t="shared" ref="E30:AA30" si="11">SUM(E31:E34)</f>
        <v>12.415483040000002</v>
      </c>
      <c r="F30" s="416">
        <f t="shared" si="11"/>
        <v>12.150984900000001</v>
      </c>
      <c r="G30" s="370">
        <f t="shared" si="11"/>
        <v>0</v>
      </c>
      <c r="H30" s="370">
        <f t="shared" si="11"/>
        <v>0.33543033999999999</v>
      </c>
      <c r="I30" s="370">
        <f t="shared" ref="I30" si="12">SUM(I31:I34)</f>
        <v>0</v>
      </c>
      <c r="J30" s="370">
        <f t="shared" ref="J30:K30" si="13">SUM(J31:J34)</f>
        <v>0.26449813999999999</v>
      </c>
      <c r="K30" s="370">
        <f t="shared" si="13"/>
        <v>0</v>
      </c>
      <c r="L30" s="370">
        <f t="shared" si="11"/>
        <v>12.0800527</v>
      </c>
      <c r="M30" s="370">
        <f t="shared" si="11"/>
        <v>0</v>
      </c>
      <c r="N30" s="370">
        <f t="shared" ref="N30" si="14">SUM(N31:N34)</f>
        <v>0</v>
      </c>
      <c r="O30" s="370">
        <f t="shared" si="11"/>
        <v>0</v>
      </c>
      <c r="P30" s="370">
        <f t="shared" si="11"/>
        <v>0</v>
      </c>
      <c r="Q30" s="370">
        <f t="shared" si="11"/>
        <v>0</v>
      </c>
      <c r="R30" s="370">
        <f t="shared" ref="R30" si="15">SUM(R31:R34)</f>
        <v>0</v>
      </c>
      <c r="S30" s="370">
        <f t="shared" si="11"/>
        <v>0</v>
      </c>
      <c r="T30" s="370">
        <f t="shared" si="11"/>
        <v>0</v>
      </c>
      <c r="U30" s="370">
        <f t="shared" si="11"/>
        <v>0</v>
      </c>
      <c r="V30" s="370">
        <f t="shared" si="11"/>
        <v>0</v>
      </c>
      <c r="W30" s="370">
        <f t="shared" si="11"/>
        <v>0</v>
      </c>
      <c r="X30" s="370">
        <f t="shared" si="11"/>
        <v>0</v>
      </c>
      <c r="Y30" s="370">
        <f t="shared" si="11"/>
        <v>0</v>
      </c>
      <c r="Z30" s="370">
        <f t="shared" si="11"/>
        <v>0</v>
      </c>
      <c r="AA30" s="370">
        <f t="shared" si="11"/>
        <v>0</v>
      </c>
      <c r="AB30" s="370">
        <f t="shared" si="7"/>
        <v>12.41548304</v>
      </c>
      <c r="AC30" s="371">
        <f t="shared" si="8"/>
        <v>0.26449813999999999</v>
      </c>
    </row>
    <row r="31" spans="1:32" x14ac:dyDescent="0.25">
      <c r="A31" s="368" t="s">
        <v>165</v>
      </c>
      <c r="B31" s="373" t="s">
        <v>164</v>
      </c>
      <c r="C31" s="370">
        <v>0.33543033999999999</v>
      </c>
      <c r="D31" s="370">
        <v>0</v>
      </c>
      <c r="E31" s="370">
        <f t="shared" ref="E31:E64" si="16">C31</f>
        <v>0.33543033999999999</v>
      </c>
      <c r="F31" s="416">
        <f t="shared" si="9"/>
        <v>7.0932200000000001E-2</v>
      </c>
      <c r="G31" s="374">
        <v>0</v>
      </c>
      <c r="H31" s="374">
        <v>0.33543033999999999</v>
      </c>
      <c r="I31" s="374">
        <v>0</v>
      </c>
      <c r="J31" s="374">
        <v>0.26449813999999999</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0">
        <f t="shared" si="7"/>
        <v>0.33543033999999999</v>
      </c>
      <c r="AC31" s="371">
        <f t="shared" si="8"/>
        <v>0.26449813999999999</v>
      </c>
    </row>
    <row r="32" spans="1:32" ht="31.5" x14ac:dyDescent="0.25">
      <c r="A32" s="368" t="s">
        <v>163</v>
      </c>
      <c r="B32" s="373" t="s">
        <v>162</v>
      </c>
      <c r="C32" s="370">
        <v>9.7060847100000007</v>
      </c>
      <c r="D32" s="370">
        <v>0</v>
      </c>
      <c r="E32" s="370">
        <f t="shared" si="16"/>
        <v>9.7060847100000007</v>
      </c>
      <c r="F32" s="416">
        <f t="shared" si="9"/>
        <v>9.7060847100000007</v>
      </c>
      <c r="G32" s="374">
        <v>0</v>
      </c>
      <c r="H32" s="374">
        <v>0</v>
      </c>
      <c r="I32" s="374">
        <v>0</v>
      </c>
      <c r="J32" s="374">
        <v>0</v>
      </c>
      <c r="K32" s="374">
        <v>0</v>
      </c>
      <c r="L32" s="374">
        <v>9.7060847100000007</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0">
        <f t="shared" si="7"/>
        <v>9.7060847100000007</v>
      </c>
      <c r="AC32" s="371">
        <f t="shared" si="8"/>
        <v>0</v>
      </c>
    </row>
    <row r="33" spans="1:29" x14ac:dyDescent="0.25">
      <c r="A33" s="368" t="s">
        <v>161</v>
      </c>
      <c r="B33" s="373" t="s">
        <v>160</v>
      </c>
      <c r="C33" s="370">
        <v>1.3286888299999999</v>
      </c>
      <c r="D33" s="370">
        <v>0</v>
      </c>
      <c r="E33" s="370">
        <f t="shared" si="16"/>
        <v>1.3286888299999999</v>
      </c>
      <c r="F33" s="416">
        <f t="shared" si="9"/>
        <v>1.3286888299999999</v>
      </c>
      <c r="G33" s="374">
        <v>0</v>
      </c>
      <c r="H33" s="374">
        <v>0</v>
      </c>
      <c r="I33" s="374">
        <v>0</v>
      </c>
      <c r="J33" s="374">
        <v>0</v>
      </c>
      <c r="K33" s="374">
        <v>0</v>
      </c>
      <c r="L33" s="374">
        <v>1.3286888299999999</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0">
        <f t="shared" si="7"/>
        <v>1.3286888299999999</v>
      </c>
      <c r="AC33" s="371">
        <f t="shared" si="8"/>
        <v>0</v>
      </c>
    </row>
    <row r="34" spans="1:29" x14ac:dyDescent="0.25">
      <c r="A34" s="368" t="s">
        <v>159</v>
      </c>
      <c r="B34" s="373" t="s">
        <v>158</v>
      </c>
      <c r="C34" s="370">
        <v>1.04527916</v>
      </c>
      <c r="D34" s="370">
        <v>0</v>
      </c>
      <c r="E34" s="370">
        <f t="shared" si="16"/>
        <v>1.04527916</v>
      </c>
      <c r="F34" s="416">
        <f t="shared" si="9"/>
        <v>1.04527916</v>
      </c>
      <c r="G34" s="374">
        <v>0</v>
      </c>
      <c r="H34" s="374">
        <v>0</v>
      </c>
      <c r="I34" s="374">
        <v>0</v>
      </c>
      <c r="J34" s="374">
        <v>0</v>
      </c>
      <c r="K34" s="374">
        <v>0</v>
      </c>
      <c r="L34" s="374">
        <v>1.04527916</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0">
        <f t="shared" si="7"/>
        <v>1.04527916</v>
      </c>
      <c r="AC34" s="371">
        <f t="shared" si="8"/>
        <v>0</v>
      </c>
    </row>
    <row r="35" spans="1:29" ht="31.5" x14ac:dyDescent="0.25">
      <c r="A35" s="368" t="s">
        <v>59</v>
      </c>
      <c r="B35" s="369" t="s">
        <v>157</v>
      </c>
      <c r="C35" s="370">
        <v>0</v>
      </c>
      <c r="D35" s="370">
        <v>0</v>
      </c>
      <c r="E35" s="370">
        <f t="shared" si="16"/>
        <v>0</v>
      </c>
      <c r="F35" s="416">
        <f t="shared" si="9"/>
        <v>0</v>
      </c>
      <c r="G35" s="370">
        <v>0</v>
      </c>
      <c r="H35" s="370">
        <v>0</v>
      </c>
      <c r="I35" s="370">
        <v>0</v>
      </c>
      <c r="J35" s="370">
        <v>0</v>
      </c>
      <c r="K35" s="370">
        <v>0</v>
      </c>
      <c r="L35" s="370">
        <v>0</v>
      </c>
      <c r="M35" s="370">
        <v>0</v>
      </c>
      <c r="N35" s="376">
        <v>0</v>
      </c>
      <c r="O35" s="370">
        <v>0</v>
      </c>
      <c r="P35" s="370">
        <v>0</v>
      </c>
      <c r="Q35" s="370">
        <v>0</v>
      </c>
      <c r="R35" s="370">
        <v>0</v>
      </c>
      <c r="S35" s="370">
        <v>0</v>
      </c>
      <c r="T35" s="370">
        <v>0</v>
      </c>
      <c r="U35" s="370">
        <v>0</v>
      </c>
      <c r="V35" s="376">
        <v>0</v>
      </c>
      <c r="W35" s="370">
        <v>0</v>
      </c>
      <c r="X35" s="370">
        <f t="shared" ref="X35:X36" si="17">C35</f>
        <v>0</v>
      </c>
      <c r="Y35" s="370">
        <v>0</v>
      </c>
      <c r="Z35" s="370">
        <v>0</v>
      </c>
      <c r="AA35" s="370">
        <v>0</v>
      </c>
      <c r="AB35" s="370">
        <f t="shared" si="7"/>
        <v>0</v>
      </c>
      <c r="AC35" s="371">
        <f t="shared" si="8"/>
        <v>0</v>
      </c>
    </row>
    <row r="36" spans="1:29" ht="31.5" x14ac:dyDescent="0.25">
      <c r="A36" s="372" t="s">
        <v>156</v>
      </c>
      <c r="B36" s="377" t="s">
        <v>155</v>
      </c>
      <c r="C36" s="378">
        <v>0</v>
      </c>
      <c r="D36" s="378">
        <v>0</v>
      </c>
      <c r="E36" s="370">
        <f t="shared" si="16"/>
        <v>0</v>
      </c>
      <c r="F36" s="416">
        <f t="shared" si="9"/>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f t="shared" si="17"/>
        <v>0</v>
      </c>
      <c r="Y36" s="374">
        <v>0</v>
      </c>
      <c r="Z36" s="374">
        <v>0</v>
      </c>
      <c r="AA36" s="374">
        <v>0</v>
      </c>
      <c r="AB36" s="370">
        <f t="shared" si="7"/>
        <v>0</v>
      </c>
      <c r="AC36" s="371">
        <f t="shared" si="8"/>
        <v>0</v>
      </c>
    </row>
    <row r="37" spans="1:29" x14ac:dyDescent="0.25">
      <c r="A37" s="372" t="s">
        <v>154</v>
      </c>
      <c r="B37" s="377" t="s">
        <v>144</v>
      </c>
      <c r="C37" s="378">
        <v>0.16</v>
      </c>
      <c r="D37" s="378">
        <v>0</v>
      </c>
      <c r="E37" s="370">
        <f t="shared" si="16"/>
        <v>0.16</v>
      </c>
      <c r="F37" s="416">
        <f t="shared" si="9"/>
        <v>0.16</v>
      </c>
      <c r="G37" s="374">
        <v>0</v>
      </c>
      <c r="H37" s="374">
        <v>0</v>
      </c>
      <c r="I37" s="374">
        <v>0</v>
      </c>
      <c r="J37" s="374">
        <v>0</v>
      </c>
      <c r="K37" s="374">
        <v>0</v>
      </c>
      <c r="L37" s="374">
        <v>0.16</v>
      </c>
      <c r="M37" s="374">
        <v>0</v>
      </c>
      <c r="N37" s="375">
        <v>0</v>
      </c>
      <c r="O37" s="374">
        <v>0</v>
      </c>
      <c r="P37" s="374">
        <v>0</v>
      </c>
      <c r="Q37" s="374">
        <v>0</v>
      </c>
      <c r="R37" s="374">
        <v>0</v>
      </c>
      <c r="S37" s="374">
        <v>0</v>
      </c>
      <c r="T37" s="374">
        <v>0</v>
      </c>
      <c r="U37" s="374">
        <v>0</v>
      </c>
      <c r="V37" s="375">
        <v>0</v>
      </c>
      <c r="W37" s="374">
        <v>0</v>
      </c>
      <c r="X37" s="374">
        <v>0</v>
      </c>
      <c r="Y37" s="374">
        <v>0</v>
      </c>
      <c r="Z37" s="374">
        <v>0</v>
      </c>
      <c r="AA37" s="374">
        <v>0</v>
      </c>
      <c r="AB37" s="370">
        <f t="shared" si="7"/>
        <v>0.16</v>
      </c>
      <c r="AC37" s="371">
        <f t="shared" si="8"/>
        <v>0</v>
      </c>
    </row>
    <row r="38" spans="1:29" x14ac:dyDescent="0.25">
      <c r="A38" s="372" t="s">
        <v>153</v>
      </c>
      <c r="B38" s="377" t="s">
        <v>142</v>
      </c>
      <c r="C38" s="378">
        <v>0</v>
      </c>
      <c r="D38" s="378">
        <v>0</v>
      </c>
      <c r="E38" s="370">
        <f t="shared" si="16"/>
        <v>0</v>
      </c>
      <c r="F38" s="416">
        <f t="shared" si="9"/>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0">
        <f t="shared" si="7"/>
        <v>0</v>
      </c>
      <c r="AC38" s="371">
        <f t="shared" si="8"/>
        <v>0</v>
      </c>
    </row>
    <row r="39" spans="1:29" ht="31.5" x14ac:dyDescent="0.25">
      <c r="A39" s="372" t="s">
        <v>152</v>
      </c>
      <c r="B39" s="373" t="s">
        <v>140</v>
      </c>
      <c r="C39" s="370">
        <v>3.0100000000000002</v>
      </c>
      <c r="D39" s="370">
        <v>0</v>
      </c>
      <c r="E39" s="370">
        <f t="shared" si="16"/>
        <v>3.0100000000000002</v>
      </c>
      <c r="F39" s="416">
        <f t="shared" si="9"/>
        <v>3.0100000000000002</v>
      </c>
      <c r="G39" s="374">
        <v>0</v>
      </c>
      <c r="H39" s="374">
        <v>0</v>
      </c>
      <c r="I39" s="374">
        <v>0</v>
      </c>
      <c r="J39" s="374">
        <v>0</v>
      </c>
      <c r="K39" s="374">
        <v>0</v>
      </c>
      <c r="L39" s="374">
        <v>3.0100000000000002</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0">
        <f t="shared" si="7"/>
        <v>3.0100000000000002</v>
      </c>
      <c r="AC39" s="371">
        <f t="shared" si="8"/>
        <v>0</v>
      </c>
    </row>
    <row r="40" spans="1:29" ht="31.5" x14ac:dyDescent="0.25">
      <c r="A40" s="372" t="s">
        <v>151</v>
      </c>
      <c r="B40" s="373" t="s">
        <v>138</v>
      </c>
      <c r="C40" s="370">
        <v>0</v>
      </c>
      <c r="D40" s="370">
        <v>0</v>
      </c>
      <c r="E40" s="370">
        <f t="shared" si="16"/>
        <v>0</v>
      </c>
      <c r="F40" s="416">
        <f t="shared" si="9"/>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0">
        <f t="shared" si="7"/>
        <v>0</v>
      </c>
      <c r="AC40" s="371">
        <f t="shared" si="8"/>
        <v>0</v>
      </c>
    </row>
    <row r="41" spans="1:29" x14ac:dyDescent="0.25">
      <c r="A41" s="372" t="s">
        <v>150</v>
      </c>
      <c r="B41" s="373" t="s">
        <v>136</v>
      </c>
      <c r="C41" s="370">
        <v>0</v>
      </c>
      <c r="D41" s="370">
        <v>0</v>
      </c>
      <c r="E41" s="370">
        <f t="shared" si="16"/>
        <v>0</v>
      </c>
      <c r="F41" s="416">
        <f t="shared" si="9"/>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0">
        <f t="shared" si="7"/>
        <v>0</v>
      </c>
      <c r="AC41" s="371">
        <f t="shared" si="8"/>
        <v>0</v>
      </c>
    </row>
    <row r="42" spans="1:29" ht="18.75" x14ac:dyDescent="0.25">
      <c r="A42" s="372" t="s">
        <v>149</v>
      </c>
      <c r="B42" s="377" t="s">
        <v>567</v>
      </c>
      <c r="C42" s="378">
        <v>0</v>
      </c>
      <c r="D42" s="378">
        <v>0</v>
      </c>
      <c r="E42" s="370">
        <f t="shared" si="16"/>
        <v>0</v>
      </c>
      <c r="F42" s="416">
        <f t="shared" si="9"/>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0">
        <f t="shared" si="7"/>
        <v>0</v>
      </c>
      <c r="AC42" s="371">
        <f t="shared" si="8"/>
        <v>0</v>
      </c>
    </row>
    <row r="43" spans="1:29" x14ac:dyDescent="0.25">
      <c r="A43" s="368" t="s">
        <v>58</v>
      </c>
      <c r="B43" s="369" t="s">
        <v>148</v>
      </c>
      <c r="C43" s="370">
        <v>0</v>
      </c>
      <c r="D43" s="370">
        <v>0</v>
      </c>
      <c r="E43" s="370">
        <f t="shared" si="16"/>
        <v>0</v>
      </c>
      <c r="F43" s="416">
        <f t="shared" si="9"/>
        <v>0</v>
      </c>
      <c r="G43" s="370">
        <v>0</v>
      </c>
      <c r="H43" s="370">
        <v>0</v>
      </c>
      <c r="I43" s="370">
        <v>0</v>
      </c>
      <c r="J43" s="370">
        <v>0</v>
      </c>
      <c r="K43" s="370">
        <v>0</v>
      </c>
      <c r="L43" s="370">
        <v>0</v>
      </c>
      <c r="M43" s="370">
        <v>0</v>
      </c>
      <c r="N43" s="376">
        <v>0</v>
      </c>
      <c r="O43" s="370">
        <v>0</v>
      </c>
      <c r="P43" s="370">
        <v>0</v>
      </c>
      <c r="Q43" s="370">
        <v>0</v>
      </c>
      <c r="R43" s="370">
        <v>0</v>
      </c>
      <c r="S43" s="370">
        <v>0</v>
      </c>
      <c r="T43" s="370">
        <v>0</v>
      </c>
      <c r="U43" s="370">
        <v>0</v>
      </c>
      <c r="V43" s="376">
        <v>0</v>
      </c>
      <c r="W43" s="370">
        <v>0</v>
      </c>
      <c r="X43" s="370">
        <v>0</v>
      </c>
      <c r="Y43" s="370">
        <v>0</v>
      </c>
      <c r="Z43" s="370">
        <v>0</v>
      </c>
      <c r="AA43" s="370">
        <v>0</v>
      </c>
      <c r="AB43" s="370">
        <f t="shared" si="7"/>
        <v>0</v>
      </c>
      <c r="AC43" s="371">
        <f t="shared" si="8"/>
        <v>0</v>
      </c>
    </row>
    <row r="44" spans="1:29" x14ac:dyDescent="0.25">
      <c r="A44" s="372" t="s">
        <v>147</v>
      </c>
      <c r="B44" s="373" t="s">
        <v>146</v>
      </c>
      <c r="C44" s="370">
        <f>C36</f>
        <v>0</v>
      </c>
      <c r="D44" s="370">
        <v>0</v>
      </c>
      <c r="E44" s="370">
        <f t="shared" si="16"/>
        <v>0</v>
      </c>
      <c r="F44" s="416">
        <f t="shared" si="9"/>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0">
        <f t="shared" si="7"/>
        <v>0</v>
      </c>
      <c r="AC44" s="371">
        <f t="shared" si="8"/>
        <v>0</v>
      </c>
    </row>
    <row r="45" spans="1:29" x14ac:dyDescent="0.25">
      <c r="A45" s="372" t="s">
        <v>145</v>
      </c>
      <c r="B45" s="373" t="s">
        <v>144</v>
      </c>
      <c r="C45" s="370">
        <f t="shared" ref="C45" si="18">C37</f>
        <v>0.16</v>
      </c>
      <c r="D45" s="370">
        <v>0</v>
      </c>
      <c r="E45" s="370">
        <f t="shared" si="16"/>
        <v>0.16</v>
      </c>
      <c r="F45" s="416">
        <f t="shared" si="9"/>
        <v>0.16</v>
      </c>
      <c r="G45" s="374">
        <v>0</v>
      </c>
      <c r="H45" s="374">
        <v>0</v>
      </c>
      <c r="I45" s="374">
        <v>0</v>
      </c>
      <c r="J45" s="374">
        <v>0</v>
      </c>
      <c r="K45" s="374">
        <v>0</v>
      </c>
      <c r="L45" s="374">
        <v>0.16</v>
      </c>
      <c r="M45" s="374">
        <v>0</v>
      </c>
      <c r="N45" s="375">
        <v>0</v>
      </c>
      <c r="O45" s="374">
        <v>0</v>
      </c>
      <c r="P45" s="374">
        <v>0</v>
      </c>
      <c r="Q45" s="374">
        <v>0</v>
      </c>
      <c r="R45" s="374">
        <v>0</v>
      </c>
      <c r="S45" s="374">
        <v>0</v>
      </c>
      <c r="T45" s="374">
        <v>0</v>
      </c>
      <c r="U45" s="374">
        <v>0</v>
      </c>
      <c r="V45" s="375">
        <v>0</v>
      </c>
      <c r="W45" s="374">
        <v>0</v>
      </c>
      <c r="X45" s="374">
        <v>0</v>
      </c>
      <c r="Y45" s="374">
        <v>0</v>
      </c>
      <c r="Z45" s="374">
        <v>0</v>
      </c>
      <c r="AA45" s="374">
        <v>0</v>
      </c>
      <c r="AB45" s="370">
        <f t="shared" si="7"/>
        <v>0.16</v>
      </c>
      <c r="AC45" s="371">
        <f t="shared" si="8"/>
        <v>0</v>
      </c>
    </row>
    <row r="46" spans="1:29" x14ac:dyDescent="0.25">
      <c r="A46" s="372" t="s">
        <v>143</v>
      </c>
      <c r="B46" s="373" t="s">
        <v>142</v>
      </c>
      <c r="C46" s="370">
        <f t="shared" ref="C46" si="19">C38</f>
        <v>0</v>
      </c>
      <c r="D46" s="370">
        <v>0</v>
      </c>
      <c r="E46" s="370">
        <f t="shared" si="16"/>
        <v>0</v>
      </c>
      <c r="F46" s="416">
        <f t="shared" si="9"/>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0">
        <f t="shared" si="7"/>
        <v>0</v>
      </c>
      <c r="AC46" s="371">
        <f t="shared" si="8"/>
        <v>0</v>
      </c>
    </row>
    <row r="47" spans="1:29" ht="31.5" x14ac:dyDescent="0.25">
      <c r="A47" s="372" t="s">
        <v>141</v>
      </c>
      <c r="B47" s="373" t="s">
        <v>140</v>
      </c>
      <c r="C47" s="370">
        <f t="shared" ref="C47" si="20">C39</f>
        <v>3.0100000000000002</v>
      </c>
      <c r="D47" s="370">
        <v>0</v>
      </c>
      <c r="E47" s="370">
        <f t="shared" si="16"/>
        <v>3.0100000000000002</v>
      </c>
      <c r="F47" s="416">
        <f t="shared" si="9"/>
        <v>3.0100000000000002</v>
      </c>
      <c r="G47" s="374">
        <v>0</v>
      </c>
      <c r="H47" s="374">
        <v>0</v>
      </c>
      <c r="I47" s="374">
        <v>0</v>
      </c>
      <c r="J47" s="374">
        <v>0</v>
      </c>
      <c r="K47" s="374">
        <v>0</v>
      </c>
      <c r="L47" s="374">
        <v>3.0100000000000002</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0">
        <f t="shared" si="7"/>
        <v>3.0100000000000002</v>
      </c>
      <c r="AC47" s="371">
        <f t="shared" si="8"/>
        <v>0</v>
      </c>
    </row>
    <row r="48" spans="1:29" ht="31.5" x14ac:dyDescent="0.25">
      <c r="A48" s="372" t="s">
        <v>139</v>
      </c>
      <c r="B48" s="373" t="s">
        <v>138</v>
      </c>
      <c r="C48" s="370">
        <f t="shared" ref="C48" si="21">C40</f>
        <v>0</v>
      </c>
      <c r="D48" s="370">
        <v>0</v>
      </c>
      <c r="E48" s="370">
        <f t="shared" si="16"/>
        <v>0</v>
      </c>
      <c r="F48" s="416">
        <f t="shared" si="9"/>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0">
        <f t="shared" si="7"/>
        <v>0</v>
      </c>
      <c r="AC48" s="371">
        <f t="shared" si="8"/>
        <v>0</v>
      </c>
    </row>
    <row r="49" spans="1:29" x14ac:dyDescent="0.25">
      <c r="A49" s="372" t="s">
        <v>137</v>
      </c>
      <c r="B49" s="373" t="s">
        <v>136</v>
      </c>
      <c r="C49" s="370">
        <f t="shared" ref="C49" si="22">C41</f>
        <v>0</v>
      </c>
      <c r="D49" s="370">
        <v>0</v>
      </c>
      <c r="E49" s="370">
        <f t="shared" si="16"/>
        <v>0</v>
      </c>
      <c r="F49" s="416">
        <f t="shared" si="9"/>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0">
        <f t="shared" si="7"/>
        <v>0</v>
      </c>
      <c r="AC49" s="371">
        <f t="shared" si="8"/>
        <v>0</v>
      </c>
    </row>
    <row r="50" spans="1:29" ht="18.75" x14ac:dyDescent="0.25">
      <c r="A50" s="372" t="s">
        <v>135</v>
      </c>
      <c r="B50" s="377" t="s">
        <v>567</v>
      </c>
      <c r="C50" s="370">
        <f t="shared" ref="C50" si="23">C42</f>
        <v>0</v>
      </c>
      <c r="D50" s="370">
        <v>0</v>
      </c>
      <c r="E50" s="370">
        <f t="shared" si="16"/>
        <v>0</v>
      </c>
      <c r="F50" s="416">
        <f t="shared" si="9"/>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0">
        <f t="shared" si="7"/>
        <v>0</v>
      </c>
      <c r="AC50" s="371">
        <f t="shared" si="8"/>
        <v>0</v>
      </c>
    </row>
    <row r="51" spans="1:29" ht="35.25" customHeight="1" x14ac:dyDescent="0.25">
      <c r="A51" s="368" t="s">
        <v>56</v>
      </c>
      <c r="B51" s="369" t="s">
        <v>134</v>
      </c>
      <c r="C51" s="370">
        <v>0</v>
      </c>
      <c r="D51" s="370">
        <v>0</v>
      </c>
      <c r="E51" s="370">
        <f t="shared" si="16"/>
        <v>0</v>
      </c>
      <c r="F51" s="416">
        <f t="shared" si="9"/>
        <v>0</v>
      </c>
      <c r="G51" s="370">
        <v>0</v>
      </c>
      <c r="H51" s="370">
        <v>0</v>
      </c>
      <c r="I51" s="370">
        <v>0</v>
      </c>
      <c r="J51" s="370">
        <v>0</v>
      </c>
      <c r="K51" s="370">
        <v>0</v>
      </c>
      <c r="L51" s="370">
        <v>0</v>
      </c>
      <c r="M51" s="370">
        <v>0</v>
      </c>
      <c r="N51" s="376">
        <v>0</v>
      </c>
      <c r="O51" s="370">
        <v>0</v>
      </c>
      <c r="P51" s="370">
        <v>0</v>
      </c>
      <c r="Q51" s="370">
        <v>0</v>
      </c>
      <c r="R51" s="370">
        <v>0</v>
      </c>
      <c r="S51" s="370">
        <v>0</v>
      </c>
      <c r="T51" s="370">
        <v>0</v>
      </c>
      <c r="U51" s="370">
        <v>0</v>
      </c>
      <c r="V51" s="376">
        <v>0</v>
      </c>
      <c r="W51" s="370">
        <v>0</v>
      </c>
      <c r="X51" s="370">
        <v>0</v>
      </c>
      <c r="Y51" s="370">
        <v>0</v>
      </c>
      <c r="Z51" s="370">
        <v>0</v>
      </c>
      <c r="AA51" s="370">
        <v>0</v>
      </c>
      <c r="AB51" s="370">
        <f t="shared" si="7"/>
        <v>0</v>
      </c>
      <c r="AC51" s="371">
        <f t="shared" si="8"/>
        <v>0</v>
      </c>
    </row>
    <row r="52" spans="1:29" x14ac:dyDescent="0.25">
      <c r="A52" s="372" t="s">
        <v>133</v>
      </c>
      <c r="B52" s="373" t="s">
        <v>132</v>
      </c>
      <c r="C52" s="370">
        <f>C30</f>
        <v>12.415483040000002</v>
      </c>
      <c r="D52" s="370">
        <v>0</v>
      </c>
      <c r="E52" s="370">
        <f t="shared" si="16"/>
        <v>12.415483040000002</v>
      </c>
      <c r="F52" s="416">
        <f t="shared" si="9"/>
        <v>12.415483040000002</v>
      </c>
      <c r="G52" s="374">
        <v>0</v>
      </c>
      <c r="H52" s="374">
        <v>0</v>
      </c>
      <c r="I52" s="374">
        <v>0</v>
      </c>
      <c r="J52" s="374">
        <v>0</v>
      </c>
      <c r="K52" s="374">
        <v>0</v>
      </c>
      <c r="L52" s="374">
        <v>12.415483040000002</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0">
        <f t="shared" si="7"/>
        <v>12.415483040000002</v>
      </c>
      <c r="AC52" s="371">
        <f t="shared" si="8"/>
        <v>0</v>
      </c>
    </row>
    <row r="53" spans="1:29" x14ac:dyDescent="0.25">
      <c r="A53" s="372" t="s">
        <v>131</v>
      </c>
      <c r="B53" s="373" t="s">
        <v>125</v>
      </c>
      <c r="C53" s="370">
        <v>0</v>
      </c>
      <c r="D53" s="370">
        <v>0</v>
      </c>
      <c r="E53" s="370">
        <f t="shared" si="16"/>
        <v>0</v>
      </c>
      <c r="F53" s="416">
        <f t="shared" si="9"/>
        <v>0</v>
      </c>
      <c r="G53" s="374">
        <v>0</v>
      </c>
      <c r="H53" s="374">
        <v>0</v>
      </c>
      <c r="I53" s="374">
        <v>0</v>
      </c>
      <c r="J53" s="374">
        <v>0</v>
      </c>
      <c r="K53" s="374">
        <v>0</v>
      </c>
      <c r="L53" s="374">
        <v>0</v>
      </c>
      <c r="M53" s="374">
        <v>0</v>
      </c>
      <c r="N53" s="375">
        <v>0</v>
      </c>
      <c r="O53" s="374">
        <v>0</v>
      </c>
      <c r="P53" s="374">
        <v>0</v>
      </c>
      <c r="Q53" s="374">
        <v>0</v>
      </c>
      <c r="R53" s="374">
        <v>0</v>
      </c>
      <c r="S53" s="374">
        <v>0</v>
      </c>
      <c r="T53" s="374">
        <v>0</v>
      </c>
      <c r="U53" s="374">
        <v>0</v>
      </c>
      <c r="V53" s="375">
        <v>0</v>
      </c>
      <c r="W53" s="374">
        <v>0</v>
      </c>
      <c r="X53" s="374">
        <v>0</v>
      </c>
      <c r="Y53" s="374">
        <v>0</v>
      </c>
      <c r="Z53" s="374">
        <v>0</v>
      </c>
      <c r="AA53" s="374">
        <v>0</v>
      </c>
      <c r="AB53" s="370">
        <f t="shared" si="7"/>
        <v>0</v>
      </c>
      <c r="AC53" s="371">
        <f t="shared" si="8"/>
        <v>0</v>
      </c>
    </row>
    <row r="54" spans="1:29" x14ac:dyDescent="0.25">
      <c r="A54" s="372" t="s">
        <v>130</v>
      </c>
      <c r="B54" s="377" t="s">
        <v>124</v>
      </c>
      <c r="C54" s="378">
        <f>C45</f>
        <v>0.16</v>
      </c>
      <c r="D54" s="378">
        <v>0</v>
      </c>
      <c r="E54" s="370">
        <f t="shared" si="16"/>
        <v>0.16</v>
      </c>
      <c r="F54" s="416">
        <f t="shared" si="9"/>
        <v>0.16</v>
      </c>
      <c r="G54" s="374">
        <v>0</v>
      </c>
      <c r="H54" s="374">
        <v>0</v>
      </c>
      <c r="I54" s="374">
        <v>0</v>
      </c>
      <c r="J54" s="374">
        <v>0</v>
      </c>
      <c r="K54" s="374">
        <v>0</v>
      </c>
      <c r="L54" s="374">
        <v>0.16</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0">
        <f t="shared" si="7"/>
        <v>0.16</v>
      </c>
      <c r="AC54" s="371">
        <f t="shared" si="8"/>
        <v>0</v>
      </c>
    </row>
    <row r="55" spans="1:29" x14ac:dyDescent="0.25">
      <c r="A55" s="372" t="s">
        <v>129</v>
      </c>
      <c r="B55" s="377" t="s">
        <v>123</v>
      </c>
      <c r="C55" s="378">
        <v>0</v>
      </c>
      <c r="D55" s="378">
        <v>0</v>
      </c>
      <c r="E55" s="370">
        <f t="shared" si="16"/>
        <v>0</v>
      </c>
      <c r="F55" s="416">
        <f t="shared" si="9"/>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0">
        <f t="shared" si="7"/>
        <v>0</v>
      </c>
      <c r="AC55" s="371">
        <f t="shared" si="8"/>
        <v>0</v>
      </c>
    </row>
    <row r="56" spans="1:29" x14ac:dyDescent="0.25">
      <c r="A56" s="372" t="s">
        <v>128</v>
      </c>
      <c r="B56" s="377" t="s">
        <v>122</v>
      </c>
      <c r="C56" s="378">
        <f>C47+C48+C49</f>
        <v>3.0100000000000002</v>
      </c>
      <c r="D56" s="378">
        <v>0</v>
      </c>
      <c r="E56" s="370">
        <f t="shared" si="16"/>
        <v>3.0100000000000002</v>
      </c>
      <c r="F56" s="416">
        <f t="shared" si="9"/>
        <v>3.0100000000000002</v>
      </c>
      <c r="G56" s="374">
        <v>0</v>
      </c>
      <c r="H56" s="374">
        <v>0</v>
      </c>
      <c r="I56" s="374">
        <v>0</v>
      </c>
      <c r="J56" s="374">
        <v>0</v>
      </c>
      <c r="K56" s="374">
        <v>0</v>
      </c>
      <c r="L56" s="374">
        <v>3.0100000000000002</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0">
        <f t="shared" si="7"/>
        <v>3.0100000000000002</v>
      </c>
      <c r="AC56" s="371">
        <f t="shared" si="8"/>
        <v>0</v>
      </c>
    </row>
    <row r="57" spans="1:29" ht="18.75" x14ac:dyDescent="0.25">
      <c r="A57" s="372" t="s">
        <v>127</v>
      </c>
      <c r="B57" s="377" t="s">
        <v>567</v>
      </c>
      <c r="C57" s="378">
        <f>C50</f>
        <v>0</v>
      </c>
      <c r="D57" s="378">
        <v>0</v>
      </c>
      <c r="E57" s="370">
        <f t="shared" si="16"/>
        <v>0</v>
      </c>
      <c r="F57" s="416">
        <f t="shared" si="9"/>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0">
        <f t="shared" si="7"/>
        <v>0</v>
      </c>
      <c r="AC57" s="371">
        <f t="shared" si="8"/>
        <v>0</v>
      </c>
    </row>
    <row r="58" spans="1:29" ht="36.75" customHeight="1" x14ac:dyDescent="0.25">
      <c r="A58" s="368" t="s">
        <v>55</v>
      </c>
      <c r="B58" s="379" t="s">
        <v>225</v>
      </c>
      <c r="C58" s="378">
        <v>0</v>
      </c>
      <c r="D58" s="378">
        <v>0</v>
      </c>
      <c r="E58" s="370">
        <f t="shared" si="16"/>
        <v>0</v>
      </c>
      <c r="F58" s="416">
        <f t="shared" si="9"/>
        <v>0</v>
      </c>
      <c r="G58" s="370">
        <v>0</v>
      </c>
      <c r="H58" s="370">
        <v>0</v>
      </c>
      <c r="I58" s="370">
        <v>0</v>
      </c>
      <c r="J58" s="370">
        <v>0</v>
      </c>
      <c r="K58" s="370">
        <v>0</v>
      </c>
      <c r="L58" s="370">
        <v>0</v>
      </c>
      <c r="M58" s="370">
        <v>0</v>
      </c>
      <c r="N58" s="376">
        <v>0</v>
      </c>
      <c r="O58" s="370">
        <v>0</v>
      </c>
      <c r="P58" s="370">
        <v>0</v>
      </c>
      <c r="Q58" s="370">
        <v>0</v>
      </c>
      <c r="R58" s="370">
        <v>0</v>
      </c>
      <c r="S58" s="370">
        <v>0</v>
      </c>
      <c r="T58" s="370">
        <v>0</v>
      </c>
      <c r="U58" s="370">
        <v>0</v>
      </c>
      <c r="V58" s="376">
        <v>0</v>
      </c>
      <c r="W58" s="370">
        <v>0</v>
      </c>
      <c r="X58" s="370">
        <v>0</v>
      </c>
      <c r="Y58" s="370">
        <v>0</v>
      </c>
      <c r="Z58" s="370">
        <v>0</v>
      </c>
      <c r="AA58" s="370">
        <v>0</v>
      </c>
      <c r="AB58" s="370">
        <f t="shared" si="7"/>
        <v>0</v>
      </c>
      <c r="AC58" s="371">
        <f t="shared" si="8"/>
        <v>0</v>
      </c>
    </row>
    <row r="59" spans="1:29" x14ac:dyDescent="0.25">
      <c r="A59" s="368" t="s">
        <v>53</v>
      </c>
      <c r="B59" s="369" t="s">
        <v>126</v>
      </c>
      <c r="C59" s="370">
        <v>0</v>
      </c>
      <c r="D59" s="370">
        <v>0</v>
      </c>
      <c r="E59" s="370">
        <f t="shared" si="16"/>
        <v>0</v>
      </c>
      <c r="F59" s="416">
        <f t="shared" si="9"/>
        <v>0</v>
      </c>
      <c r="G59" s="370">
        <v>0</v>
      </c>
      <c r="H59" s="370">
        <v>0</v>
      </c>
      <c r="I59" s="370">
        <v>0</v>
      </c>
      <c r="J59" s="370">
        <v>0</v>
      </c>
      <c r="K59" s="370">
        <v>0</v>
      </c>
      <c r="L59" s="370">
        <v>0</v>
      </c>
      <c r="M59" s="370">
        <v>0</v>
      </c>
      <c r="N59" s="376">
        <v>0</v>
      </c>
      <c r="O59" s="370">
        <v>0</v>
      </c>
      <c r="P59" s="370">
        <v>0</v>
      </c>
      <c r="Q59" s="370">
        <v>0</v>
      </c>
      <c r="R59" s="370">
        <v>0</v>
      </c>
      <c r="S59" s="370">
        <v>0</v>
      </c>
      <c r="T59" s="370">
        <v>0</v>
      </c>
      <c r="U59" s="370">
        <v>0</v>
      </c>
      <c r="V59" s="376">
        <v>0</v>
      </c>
      <c r="W59" s="370">
        <v>0</v>
      </c>
      <c r="X59" s="370">
        <v>0</v>
      </c>
      <c r="Y59" s="370">
        <v>0</v>
      </c>
      <c r="Z59" s="370">
        <v>0</v>
      </c>
      <c r="AA59" s="370">
        <v>0</v>
      </c>
      <c r="AB59" s="370">
        <f t="shared" si="7"/>
        <v>0</v>
      </c>
      <c r="AC59" s="371">
        <f t="shared" si="8"/>
        <v>0</v>
      </c>
    </row>
    <row r="60" spans="1:29" x14ac:dyDescent="0.25">
      <c r="A60" s="372" t="s">
        <v>219</v>
      </c>
      <c r="B60" s="57" t="s">
        <v>146</v>
      </c>
      <c r="C60" s="244">
        <v>0</v>
      </c>
      <c r="D60" s="244">
        <v>0</v>
      </c>
      <c r="E60" s="370">
        <f t="shared" si="16"/>
        <v>0</v>
      </c>
      <c r="F60" s="416">
        <f t="shared" si="9"/>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0">
        <f t="shared" si="7"/>
        <v>0</v>
      </c>
      <c r="AC60" s="371">
        <f t="shared" si="8"/>
        <v>0</v>
      </c>
    </row>
    <row r="61" spans="1:29" x14ac:dyDescent="0.25">
      <c r="A61" s="372" t="s">
        <v>220</v>
      </c>
      <c r="B61" s="57" t="s">
        <v>144</v>
      </c>
      <c r="C61" s="244">
        <v>0.08</v>
      </c>
      <c r="D61" s="244">
        <v>0</v>
      </c>
      <c r="E61" s="370">
        <f t="shared" si="16"/>
        <v>0.08</v>
      </c>
      <c r="F61" s="416">
        <f t="shared" si="9"/>
        <v>0.08</v>
      </c>
      <c r="G61" s="374">
        <v>0</v>
      </c>
      <c r="H61" s="374">
        <v>0</v>
      </c>
      <c r="I61" s="374">
        <v>0</v>
      </c>
      <c r="J61" s="374">
        <v>0</v>
      </c>
      <c r="K61" s="374">
        <v>0</v>
      </c>
      <c r="L61" s="374">
        <v>0.08</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0">
        <f t="shared" si="7"/>
        <v>0.08</v>
      </c>
      <c r="AC61" s="371">
        <f t="shared" si="8"/>
        <v>0</v>
      </c>
    </row>
    <row r="62" spans="1:29" x14ac:dyDescent="0.25">
      <c r="A62" s="372" t="s">
        <v>221</v>
      </c>
      <c r="B62" s="57" t="s">
        <v>142</v>
      </c>
      <c r="C62" s="244">
        <v>0</v>
      </c>
      <c r="D62" s="244">
        <v>0</v>
      </c>
      <c r="E62" s="370">
        <f t="shared" si="16"/>
        <v>0</v>
      </c>
      <c r="F62" s="416">
        <f t="shared" si="9"/>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0">
        <f t="shared" si="7"/>
        <v>0</v>
      </c>
      <c r="AC62" s="371">
        <f t="shared" si="8"/>
        <v>0</v>
      </c>
    </row>
    <row r="63" spans="1:29" x14ac:dyDescent="0.25">
      <c r="A63" s="372" t="s">
        <v>222</v>
      </c>
      <c r="B63" s="57" t="s">
        <v>224</v>
      </c>
      <c r="C63" s="244">
        <v>2.4350000000000001</v>
      </c>
      <c r="D63" s="244">
        <v>0</v>
      </c>
      <c r="E63" s="370">
        <f t="shared" si="16"/>
        <v>2.4350000000000001</v>
      </c>
      <c r="F63" s="416">
        <f t="shared" si="9"/>
        <v>2.4350000000000001</v>
      </c>
      <c r="G63" s="374">
        <v>0</v>
      </c>
      <c r="H63" s="374">
        <v>0</v>
      </c>
      <c r="I63" s="374">
        <v>0</v>
      </c>
      <c r="J63" s="374">
        <v>0</v>
      </c>
      <c r="K63" s="374">
        <v>0</v>
      </c>
      <c r="L63" s="374">
        <v>2.4350000000000001</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0">
        <f t="shared" si="7"/>
        <v>2.4350000000000001</v>
      </c>
      <c r="AC63" s="371">
        <f t="shared" si="8"/>
        <v>0</v>
      </c>
    </row>
    <row r="64" spans="1:29" ht="18.75" x14ac:dyDescent="0.25">
      <c r="A64" s="372" t="s">
        <v>223</v>
      </c>
      <c r="B64" s="377" t="s">
        <v>121</v>
      </c>
      <c r="C64" s="378">
        <v>0</v>
      </c>
      <c r="D64" s="378">
        <v>0</v>
      </c>
      <c r="E64" s="370">
        <f t="shared" si="16"/>
        <v>0</v>
      </c>
      <c r="F64" s="416">
        <f t="shared" si="9"/>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0">
        <f t="shared" si="7"/>
        <v>0</v>
      </c>
      <c r="AC64" s="371">
        <f t="shared" si="8"/>
        <v>0</v>
      </c>
    </row>
    <row r="65" spans="1:28" x14ac:dyDescent="0.25">
      <c r="A65" s="55"/>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0"/>
    </row>
    <row r="66" spans="1:28" ht="54" customHeight="1" x14ac:dyDescent="0.25">
      <c r="A66" s="50"/>
      <c r="B66" s="509"/>
      <c r="C66" s="509"/>
      <c r="D66" s="509"/>
      <c r="E66" s="509"/>
      <c r="F66" s="509"/>
      <c r="G66" s="509"/>
      <c r="H66" s="509"/>
      <c r="I66" s="509"/>
      <c r="J66" s="349"/>
      <c r="K66" s="349"/>
      <c r="L66" s="349"/>
      <c r="M66" s="349"/>
      <c r="N66" s="349"/>
      <c r="O66" s="349"/>
      <c r="P66" s="349"/>
      <c r="Q66" s="349"/>
      <c r="R66" s="349"/>
      <c r="S66" s="349"/>
      <c r="T66" s="349"/>
      <c r="U66" s="349"/>
      <c r="V66" s="349"/>
      <c r="W66" s="349"/>
      <c r="X66" s="349"/>
      <c r="Y66" s="349"/>
      <c r="Z66" s="349"/>
      <c r="AA66" s="349"/>
      <c r="AB66" s="54"/>
    </row>
    <row r="67" spans="1:28" x14ac:dyDescent="0.25">
      <c r="A67" s="50"/>
      <c r="B67" s="50"/>
      <c r="C67" s="50"/>
      <c r="D67" s="50"/>
      <c r="E67" s="50"/>
      <c r="F67" s="50"/>
      <c r="AB67" s="50"/>
    </row>
    <row r="68" spans="1:28" ht="50.25" customHeight="1" x14ac:dyDescent="0.25">
      <c r="A68" s="50"/>
      <c r="B68" s="510"/>
      <c r="C68" s="510"/>
      <c r="D68" s="510"/>
      <c r="E68" s="510"/>
      <c r="F68" s="510"/>
      <c r="G68" s="510"/>
      <c r="H68" s="510"/>
      <c r="I68" s="510"/>
      <c r="J68" s="350"/>
      <c r="K68" s="350"/>
      <c r="L68" s="350"/>
      <c r="M68" s="350"/>
      <c r="N68" s="350"/>
      <c r="O68" s="350"/>
      <c r="P68" s="350"/>
      <c r="Q68" s="350"/>
      <c r="R68" s="350"/>
      <c r="S68" s="350"/>
      <c r="T68" s="350"/>
      <c r="U68" s="350"/>
      <c r="V68" s="350"/>
      <c r="W68" s="350"/>
      <c r="X68" s="350"/>
      <c r="Y68" s="350"/>
      <c r="Z68" s="350"/>
      <c r="AA68" s="350"/>
      <c r="AB68" s="50"/>
    </row>
    <row r="69" spans="1:28" x14ac:dyDescent="0.25">
      <c r="A69" s="50"/>
      <c r="B69" s="50"/>
      <c r="C69" s="50"/>
      <c r="D69" s="50"/>
      <c r="E69" s="50"/>
      <c r="F69" s="50"/>
      <c r="AB69" s="50"/>
    </row>
    <row r="70" spans="1:28" ht="36.75" customHeight="1" x14ac:dyDescent="0.25">
      <c r="A70" s="50"/>
      <c r="B70" s="509"/>
      <c r="C70" s="509"/>
      <c r="D70" s="509"/>
      <c r="E70" s="509"/>
      <c r="F70" s="509"/>
      <c r="G70" s="509"/>
      <c r="H70" s="509"/>
      <c r="I70" s="509"/>
      <c r="J70" s="349"/>
      <c r="K70" s="349"/>
      <c r="L70" s="349"/>
      <c r="M70" s="349"/>
      <c r="N70" s="349"/>
      <c r="O70" s="349"/>
      <c r="P70" s="349"/>
      <c r="Q70" s="349"/>
      <c r="R70" s="349"/>
      <c r="S70" s="349"/>
      <c r="T70" s="349"/>
      <c r="U70" s="349"/>
      <c r="V70" s="349"/>
      <c r="W70" s="349"/>
      <c r="X70" s="349"/>
      <c r="Y70" s="349"/>
      <c r="Z70" s="349"/>
      <c r="AA70" s="349"/>
      <c r="AB70" s="50"/>
    </row>
    <row r="71" spans="1:28" x14ac:dyDescent="0.25">
      <c r="A71" s="50"/>
      <c r="B71" s="53"/>
      <c r="C71" s="53"/>
      <c r="D71" s="53"/>
      <c r="E71" s="53"/>
      <c r="F71" s="53"/>
      <c r="AB71" s="50"/>
    </row>
    <row r="72" spans="1:28" ht="51" customHeight="1" x14ac:dyDescent="0.25">
      <c r="A72" s="50"/>
      <c r="B72" s="509"/>
      <c r="C72" s="509"/>
      <c r="D72" s="509"/>
      <c r="E72" s="509"/>
      <c r="F72" s="509"/>
      <c r="G72" s="509"/>
      <c r="H72" s="509"/>
      <c r="I72" s="509"/>
      <c r="J72" s="349"/>
      <c r="K72" s="349"/>
      <c r="L72" s="349"/>
      <c r="M72" s="349"/>
      <c r="N72" s="349"/>
      <c r="O72" s="349"/>
      <c r="P72" s="349"/>
      <c r="Q72" s="349"/>
      <c r="R72" s="349"/>
      <c r="S72" s="349"/>
      <c r="T72" s="349"/>
      <c r="U72" s="349"/>
      <c r="V72" s="349"/>
      <c r="W72" s="349"/>
      <c r="X72" s="349"/>
      <c r="Y72" s="349"/>
      <c r="Z72" s="349"/>
      <c r="AA72" s="349"/>
      <c r="AB72" s="50"/>
    </row>
    <row r="73" spans="1:28" ht="32.25" customHeight="1" x14ac:dyDescent="0.25">
      <c r="A73" s="50"/>
      <c r="B73" s="510"/>
      <c r="C73" s="510"/>
      <c r="D73" s="510"/>
      <c r="E73" s="510"/>
      <c r="F73" s="510"/>
      <c r="G73" s="510"/>
      <c r="H73" s="510"/>
      <c r="I73" s="510"/>
      <c r="J73" s="350"/>
      <c r="K73" s="350"/>
      <c r="L73" s="350"/>
      <c r="M73" s="350"/>
      <c r="N73" s="350"/>
      <c r="O73" s="350"/>
      <c r="P73" s="350"/>
      <c r="Q73" s="350"/>
      <c r="R73" s="350"/>
      <c r="S73" s="350"/>
      <c r="T73" s="350"/>
      <c r="U73" s="350"/>
      <c r="V73" s="350"/>
      <c r="W73" s="350"/>
      <c r="X73" s="350"/>
      <c r="Y73" s="350"/>
      <c r="Z73" s="350"/>
      <c r="AA73" s="350"/>
      <c r="AB73" s="50"/>
    </row>
    <row r="74" spans="1:28" ht="51.75" customHeight="1" x14ac:dyDescent="0.25">
      <c r="A74" s="50"/>
      <c r="B74" s="509"/>
      <c r="C74" s="509"/>
      <c r="D74" s="509"/>
      <c r="E74" s="509"/>
      <c r="F74" s="509"/>
      <c r="G74" s="509"/>
      <c r="H74" s="509"/>
      <c r="I74" s="509"/>
      <c r="J74" s="349"/>
      <c r="K74" s="349"/>
      <c r="L74" s="349"/>
      <c r="M74" s="349"/>
      <c r="N74" s="349"/>
      <c r="O74" s="349"/>
      <c r="P74" s="349"/>
      <c r="Q74" s="349"/>
      <c r="R74" s="349"/>
      <c r="S74" s="349"/>
      <c r="T74" s="349"/>
      <c r="U74" s="349"/>
      <c r="V74" s="349"/>
      <c r="W74" s="349"/>
      <c r="X74" s="349"/>
      <c r="Y74" s="349"/>
      <c r="Z74" s="349"/>
      <c r="AA74" s="349"/>
      <c r="AB74" s="50"/>
    </row>
    <row r="75" spans="1:28" ht="21.75" customHeight="1" x14ac:dyDescent="0.25">
      <c r="A75" s="50"/>
      <c r="B75" s="507"/>
      <c r="C75" s="507"/>
      <c r="D75" s="507"/>
      <c r="E75" s="507"/>
      <c r="F75" s="507"/>
      <c r="G75" s="507"/>
      <c r="H75" s="507"/>
      <c r="I75" s="507"/>
      <c r="J75" s="347"/>
      <c r="K75" s="347"/>
      <c r="L75" s="347"/>
      <c r="M75" s="347"/>
      <c r="N75" s="347"/>
      <c r="O75" s="347"/>
      <c r="P75" s="347"/>
      <c r="Q75" s="347"/>
      <c r="R75" s="347"/>
      <c r="S75" s="347"/>
      <c r="T75" s="347"/>
      <c r="U75" s="347"/>
      <c r="V75" s="347"/>
      <c r="W75" s="347"/>
      <c r="X75" s="347"/>
      <c r="Y75" s="347"/>
      <c r="Z75" s="347"/>
      <c r="AA75" s="347"/>
      <c r="AB75" s="50"/>
    </row>
    <row r="76" spans="1:28" ht="23.25" customHeight="1" x14ac:dyDescent="0.25">
      <c r="A76" s="50"/>
      <c r="B76" s="51"/>
      <c r="C76" s="51"/>
      <c r="D76" s="51"/>
      <c r="E76" s="51"/>
      <c r="F76" s="51"/>
      <c r="AB76" s="50"/>
    </row>
    <row r="77" spans="1:28" ht="18.75" customHeight="1" x14ac:dyDescent="0.25">
      <c r="A77" s="50"/>
      <c r="B77" s="508"/>
      <c r="C77" s="508"/>
      <c r="D77" s="508"/>
      <c r="E77" s="508"/>
      <c r="F77" s="508"/>
      <c r="G77" s="508"/>
      <c r="H77" s="508"/>
      <c r="I77" s="508"/>
      <c r="J77" s="348"/>
      <c r="K77" s="348"/>
      <c r="L77" s="348"/>
      <c r="M77" s="348"/>
      <c r="N77" s="348"/>
      <c r="O77" s="348"/>
      <c r="P77" s="348"/>
      <c r="Q77" s="348"/>
      <c r="R77" s="348"/>
      <c r="S77" s="348"/>
      <c r="T77" s="348"/>
      <c r="U77" s="348"/>
      <c r="V77" s="348"/>
      <c r="W77" s="348"/>
      <c r="X77" s="348"/>
      <c r="Y77" s="348"/>
      <c r="Z77" s="348"/>
      <c r="AA77" s="348"/>
      <c r="AB77" s="50"/>
    </row>
    <row r="78" spans="1:28" x14ac:dyDescent="0.25">
      <c r="A78" s="50"/>
      <c r="B78" s="50"/>
      <c r="C78" s="50"/>
      <c r="D78" s="50"/>
      <c r="E78" s="50"/>
      <c r="F78" s="50"/>
      <c r="AB78" s="50"/>
    </row>
    <row r="79" spans="1:28" x14ac:dyDescent="0.25">
      <c r="A79" s="50"/>
      <c r="B79" s="50"/>
      <c r="C79" s="50"/>
      <c r="D79" s="50"/>
      <c r="E79" s="50"/>
      <c r="F79" s="50"/>
      <c r="AB79" s="50"/>
    </row>
    <row r="80" spans="1:28" x14ac:dyDescent="0.25">
      <c r="G80" s="49"/>
      <c r="H80" s="49"/>
      <c r="I80" s="49"/>
      <c r="J80" s="49"/>
      <c r="K80" s="49"/>
      <c r="L80" s="49"/>
      <c r="M80" s="49"/>
      <c r="N80" s="49"/>
      <c r="O80" s="49"/>
      <c r="P80" s="49"/>
      <c r="Q80" s="49"/>
      <c r="R80" s="49"/>
      <c r="S80" s="49"/>
      <c r="T80" s="49"/>
      <c r="U80" s="49"/>
      <c r="V80" s="49"/>
      <c r="W80" s="49"/>
      <c r="X80" s="49"/>
      <c r="Y80" s="49"/>
      <c r="Z80" s="49"/>
      <c r="AA80" s="49"/>
    </row>
    <row r="81" spans="7:27" x14ac:dyDescent="0.25">
      <c r="G81" s="49"/>
      <c r="H81" s="49"/>
      <c r="I81" s="49"/>
      <c r="J81" s="49"/>
      <c r="K81" s="49"/>
      <c r="L81" s="49"/>
      <c r="M81" s="49"/>
      <c r="N81" s="49"/>
      <c r="O81" s="49"/>
      <c r="P81" s="49"/>
      <c r="Q81" s="49"/>
      <c r="R81" s="49"/>
      <c r="S81" s="49"/>
      <c r="T81" s="49"/>
      <c r="U81" s="49"/>
      <c r="V81" s="49"/>
      <c r="W81" s="49"/>
      <c r="X81" s="49"/>
      <c r="Y81" s="49"/>
      <c r="Z81" s="49"/>
      <c r="AA81" s="49"/>
    </row>
    <row r="82" spans="7:27" x14ac:dyDescent="0.25">
      <c r="G82" s="49"/>
      <c r="H82" s="49"/>
      <c r="I82" s="49"/>
      <c r="J82" s="49"/>
      <c r="K82" s="49"/>
      <c r="L82" s="49"/>
      <c r="M82" s="49"/>
      <c r="N82" s="49"/>
      <c r="O82" s="49"/>
      <c r="P82" s="49"/>
      <c r="Q82" s="49"/>
      <c r="R82" s="49"/>
      <c r="S82" s="49"/>
      <c r="T82" s="49"/>
      <c r="U82" s="49"/>
      <c r="V82" s="49"/>
      <c r="W82" s="49"/>
      <c r="X82" s="49"/>
      <c r="Y82" s="49"/>
      <c r="Z82" s="49"/>
      <c r="AA82" s="49"/>
    </row>
    <row r="83" spans="7:27" x14ac:dyDescent="0.25">
      <c r="G83" s="49"/>
      <c r="H83" s="49"/>
      <c r="I83" s="49"/>
      <c r="J83" s="49"/>
      <c r="K83" s="49"/>
      <c r="L83" s="49"/>
      <c r="M83" s="49"/>
      <c r="N83" s="49"/>
      <c r="O83" s="49"/>
      <c r="P83" s="49"/>
      <c r="Q83" s="49"/>
      <c r="R83" s="49"/>
      <c r="S83" s="49"/>
      <c r="T83" s="49"/>
      <c r="U83" s="49"/>
      <c r="V83" s="49"/>
      <c r="W83" s="49"/>
      <c r="X83" s="49"/>
      <c r="Y83" s="49"/>
      <c r="Z83" s="49"/>
      <c r="AA83" s="49"/>
    </row>
    <row r="84" spans="7:27" x14ac:dyDescent="0.25">
      <c r="G84" s="49"/>
      <c r="H84" s="49"/>
      <c r="I84" s="49"/>
      <c r="J84" s="49"/>
      <c r="K84" s="49"/>
      <c r="L84" s="49"/>
      <c r="M84" s="49"/>
      <c r="N84" s="49"/>
      <c r="O84" s="49"/>
      <c r="P84" s="49"/>
      <c r="Q84" s="49"/>
      <c r="R84" s="49"/>
      <c r="S84" s="49"/>
      <c r="T84" s="49"/>
      <c r="U84" s="49"/>
      <c r="V84" s="49"/>
      <c r="W84" s="49"/>
      <c r="X84" s="49"/>
      <c r="Y84" s="49"/>
      <c r="Z84" s="49"/>
      <c r="AA84" s="49"/>
    </row>
    <row r="85" spans="7:27" x14ac:dyDescent="0.25">
      <c r="G85" s="49"/>
      <c r="H85" s="49"/>
      <c r="I85" s="49"/>
      <c r="J85" s="49"/>
      <c r="K85" s="49"/>
      <c r="L85" s="49"/>
      <c r="M85" s="49"/>
      <c r="N85" s="49"/>
      <c r="O85" s="49"/>
      <c r="P85" s="49"/>
      <c r="Q85" s="49"/>
      <c r="R85" s="49"/>
      <c r="S85" s="49"/>
      <c r="T85" s="49"/>
      <c r="U85" s="49"/>
      <c r="V85" s="49"/>
      <c r="W85" s="49"/>
      <c r="X85" s="49"/>
      <c r="Y85" s="49"/>
      <c r="Z85" s="49"/>
      <c r="AA85" s="49"/>
    </row>
    <row r="86" spans="7:27" x14ac:dyDescent="0.25">
      <c r="G86" s="49"/>
      <c r="H86" s="49"/>
      <c r="I86" s="49"/>
      <c r="J86" s="49"/>
      <c r="K86" s="49"/>
      <c r="L86" s="49"/>
      <c r="M86" s="49"/>
      <c r="N86" s="49"/>
      <c r="O86" s="49"/>
      <c r="P86" s="49"/>
      <c r="Q86" s="49"/>
      <c r="R86" s="49"/>
      <c r="S86" s="49"/>
      <c r="T86" s="49"/>
      <c r="U86" s="49"/>
      <c r="V86" s="49"/>
      <c r="W86" s="49"/>
      <c r="X86" s="49"/>
      <c r="Y86" s="49"/>
      <c r="Z86" s="49"/>
      <c r="AA86" s="49"/>
    </row>
    <row r="87" spans="7:27" x14ac:dyDescent="0.25">
      <c r="G87" s="49"/>
      <c r="H87" s="49"/>
      <c r="I87" s="49"/>
      <c r="J87" s="49"/>
      <c r="K87" s="49"/>
      <c r="L87" s="49"/>
      <c r="M87" s="49"/>
      <c r="N87" s="49"/>
      <c r="O87" s="49"/>
      <c r="P87" s="49"/>
      <c r="Q87" s="49"/>
      <c r="R87" s="49"/>
      <c r="S87" s="49"/>
      <c r="T87" s="49"/>
      <c r="U87" s="49"/>
      <c r="V87" s="49"/>
      <c r="W87" s="49"/>
      <c r="X87" s="49"/>
      <c r="Y87" s="49"/>
      <c r="Z87" s="49"/>
      <c r="AA87" s="49"/>
    </row>
    <row r="88" spans="7:27" x14ac:dyDescent="0.25">
      <c r="G88" s="49"/>
      <c r="H88" s="49"/>
      <c r="I88" s="49"/>
      <c r="J88" s="49"/>
      <c r="K88" s="49"/>
      <c r="L88" s="49"/>
      <c r="M88" s="49"/>
      <c r="N88" s="49"/>
      <c r="O88" s="49"/>
      <c r="P88" s="49"/>
      <c r="Q88" s="49"/>
      <c r="R88" s="49"/>
      <c r="S88" s="49"/>
      <c r="T88" s="49"/>
      <c r="U88" s="49"/>
      <c r="V88" s="49"/>
      <c r="W88" s="49"/>
      <c r="X88" s="49"/>
      <c r="Y88" s="49"/>
      <c r="Z88" s="49"/>
      <c r="AA88" s="49"/>
    </row>
    <row r="89" spans="7:27" x14ac:dyDescent="0.25">
      <c r="G89" s="49"/>
      <c r="H89" s="49"/>
      <c r="I89" s="49"/>
      <c r="J89" s="49"/>
      <c r="K89" s="49"/>
      <c r="L89" s="49"/>
      <c r="M89" s="49"/>
      <c r="N89" s="49"/>
      <c r="O89" s="49"/>
      <c r="P89" s="49"/>
      <c r="Q89" s="49"/>
      <c r="R89" s="49"/>
      <c r="S89" s="49"/>
      <c r="T89" s="49"/>
      <c r="U89" s="49"/>
      <c r="V89" s="49"/>
      <c r="W89" s="49"/>
      <c r="X89" s="49"/>
      <c r="Y89" s="49"/>
      <c r="Z89" s="49"/>
      <c r="AA89" s="49"/>
    </row>
    <row r="90" spans="7:27" x14ac:dyDescent="0.25">
      <c r="G90" s="49"/>
      <c r="H90" s="49"/>
      <c r="I90" s="49"/>
      <c r="J90" s="49"/>
      <c r="K90" s="49"/>
      <c r="L90" s="49"/>
      <c r="M90" s="49"/>
      <c r="N90" s="49"/>
      <c r="O90" s="49"/>
      <c r="P90" s="49"/>
      <c r="Q90" s="49"/>
      <c r="R90" s="49"/>
      <c r="S90" s="49"/>
      <c r="T90" s="49"/>
      <c r="U90" s="49"/>
      <c r="V90" s="49"/>
      <c r="W90" s="49"/>
      <c r="X90" s="49"/>
      <c r="Y90" s="49"/>
      <c r="Z90" s="49"/>
      <c r="AA90" s="49"/>
    </row>
    <row r="91" spans="7:27" x14ac:dyDescent="0.25">
      <c r="G91" s="49"/>
      <c r="H91" s="49"/>
      <c r="I91" s="49"/>
      <c r="J91" s="49"/>
      <c r="K91" s="49"/>
      <c r="L91" s="49"/>
      <c r="M91" s="49"/>
      <c r="N91" s="49"/>
      <c r="O91" s="49"/>
      <c r="P91" s="49"/>
      <c r="Q91" s="49"/>
      <c r="R91" s="49"/>
      <c r="S91" s="49"/>
      <c r="T91" s="49"/>
      <c r="U91" s="49"/>
      <c r="V91" s="49"/>
      <c r="W91" s="49"/>
      <c r="X91" s="49"/>
      <c r="Y91" s="49"/>
      <c r="Z91" s="49"/>
      <c r="AA91" s="49"/>
    </row>
    <row r="92" spans="7:27" x14ac:dyDescent="0.25">
      <c r="G92" s="49"/>
      <c r="H92" s="49"/>
      <c r="I92" s="49"/>
      <c r="J92" s="49"/>
      <c r="K92" s="49"/>
      <c r="L92" s="49"/>
      <c r="M92" s="49"/>
      <c r="N92" s="49"/>
      <c r="O92" s="49"/>
      <c r="P92" s="49"/>
      <c r="Q92" s="49"/>
      <c r="R92" s="49"/>
      <c r="S92" s="49"/>
      <c r="T92" s="49"/>
      <c r="U92" s="49"/>
      <c r="V92" s="49"/>
      <c r="W92" s="49"/>
      <c r="X92" s="49"/>
      <c r="Y92" s="49"/>
      <c r="Z92" s="49"/>
      <c r="AA92" s="49"/>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C24:E64">
    <cfRule type="cellIs" dxfId="15" priority="17" operator="notEqual">
      <formula>0</formula>
    </cfRule>
  </conditionalFormatting>
  <conditionalFormatting sqref="AC24:AC64">
    <cfRule type="cellIs" dxfId="14" priority="15" operator="notEqual">
      <formula>0</formula>
    </cfRule>
  </conditionalFormatting>
  <conditionalFormatting sqref="L25:S26 L28:S29 L27:M27 Q27 O27 S27 L31:S64 S24">
    <cfRule type="cellIs" dxfId="13" priority="14" operator="notEqual">
      <formula>0</formula>
    </cfRule>
  </conditionalFormatting>
  <conditionalFormatting sqref="T24:AB24 T35:AB64 T31:W34 T25:W29 Y25:AB34 L30:W30 L24:R24 G24:H64">
    <cfRule type="cellIs" dxfId="12" priority="16" operator="notEqual">
      <formula>0</formula>
    </cfRule>
  </conditionalFormatting>
  <conditionalFormatting sqref="X25:X34">
    <cfRule type="cellIs" dxfId="11" priority="13" operator="notEqual">
      <formula>0</formula>
    </cfRule>
  </conditionalFormatting>
  <conditionalFormatting sqref="N27">
    <cfRule type="cellIs" dxfId="10" priority="11" operator="notEqual">
      <formula>0</formula>
    </cfRule>
  </conditionalFormatting>
  <conditionalFormatting sqref="R27">
    <cfRule type="cellIs" dxfId="9" priority="10" operator="notEqual">
      <formula>0</formula>
    </cfRule>
  </conditionalFormatting>
  <conditionalFormatting sqref="P27">
    <cfRule type="cellIs" dxfId="8" priority="9" operator="notEqual">
      <formula>0</formula>
    </cfRule>
  </conditionalFormatting>
  <conditionalFormatting sqref="J24:J64">
    <cfRule type="cellIs" dxfId="7" priority="8" operator="notEqual">
      <formula>0</formula>
    </cfRule>
  </conditionalFormatting>
  <conditionalFormatting sqref="K25:K29 K31:K64">
    <cfRule type="cellIs" dxfId="6" priority="6" operator="notEqual">
      <formula>0</formula>
    </cfRule>
  </conditionalFormatting>
  <conditionalFormatting sqref="K30 K24">
    <cfRule type="cellIs" dxfId="5" priority="7" operator="notEqual">
      <formula>0</formula>
    </cfRule>
  </conditionalFormatting>
  <conditionalFormatting sqref="I25:I29 I31:I64">
    <cfRule type="cellIs" dxfId="4" priority="4" operator="notEqual">
      <formula>0</formula>
    </cfRule>
  </conditionalFormatting>
  <conditionalFormatting sqref="I30 I24">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M27" sqref="M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65</v>
      </c>
    </row>
    <row r="2" spans="1:48" ht="18.75" x14ac:dyDescent="0.3">
      <c r="AV2" s="14" t="s">
        <v>7</v>
      </c>
    </row>
    <row r="3" spans="1:48" ht="18.75" x14ac:dyDescent="0.3">
      <c r="AV3" s="14" t="s">
        <v>64</v>
      </c>
    </row>
    <row r="4" spans="1:48" ht="18.75" x14ac:dyDescent="0.3">
      <c r="AV4" s="14"/>
    </row>
    <row r="5" spans="1:48" ht="18.75" customHeight="1" x14ac:dyDescent="0.25">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29" t="s">
        <v>6</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4" t="s">
        <v>5</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30" t="str">
        <f>'1. паспорт местоположение'!A12:C12</f>
        <v>N_18-0871</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4" t="s">
        <v>4</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4" t="s">
        <v>3</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1"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1" customFormat="1" x14ac:dyDescent="0.25">
      <c r="A21" s="538" t="s">
        <v>459</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21" customFormat="1" ht="58.5" customHeight="1" x14ac:dyDescent="0.25">
      <c r="A22" s="529" t="s">
        <v>49</v>
      </c>
      <c r="B22" s="540" t="s">
        <v>21</v>
      </c>
      <c r="C22" s="529" t="s">
        <v>48</v>
      </c>
      <c r="D22" s="529" t="s">
        <v>47</v>
      </c>
      <c r="E22" s="543" t="s">
        <v>470</v>
      </c>
      <c r="F22" s="544"/>
      <c r="G22" s="544"/>
      <c r="H22" s="544"/>
      <c r="I22" s="544"/>
      <c r="J22" s="544"/>
      <c r="K22" s="544"/>
      <c r="L22" s="545"/>
      <c r="M22" s="529" t="s">
        <v>46</v>
      </c>
      <c r="N22" s="529" t="s">
        <v>45</v>
      </c>
      <c r="O22" s="529" t="s">
        <v>44</v>
      </c>
      <c r="P22" s="524" t="s">
        <v>233</v>
      </c>
      <c r="Q22" s="524" t="s">
        <v>43</v>
      </c>
      <c r="R22" s="524" t="s">
        <v>42</v>
      </c>
      <c r="S22" s="524" t="s">
        <v>41</v>
      </c>
      <c r="T22" s="524"/>
      <c r="U22" s="546" t="s">
        <v>40</v>
      </c>
      <c r="V22" s="546" t="s">
        <v>39</v>
      </c>
      <c r="W22" s="524" t="s">
        <v>38</v>
      </c>
      <c r="X22" s="524" t="s">
        <v>37</v>
      </c>
      <c r="Y22" s="524" t="s">
        <v>36</v>
      </c>
      <c r="Z22" s="531"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32" t="s">
        <v>22</v>
      </c>
    </row>
    <row r="23" spans="1:48" s="21" customFormat="1" ht="64.5" customHeight="1" x14ac:dyDescent="0.25">
      <c r="A23" s="539"/>
      <c r="B23" s="541"/>
      <c r="C23" s="539"/>
      <c r="D23" s="539"/>
      <c r="E23" s="534" t="s">
        <v>20</v>
      </c>
      <c r="F23" s="525" t="s">
        <v>125</v>
      </c>
      <c r="G23" s="525" t="s">
        <v>124</v>
      </c>
      <c r="H23" s="525" t="s">
        <v>123</v>
      </c>
      <c r="I23" s="527" t="s">
        <v>380</v>
      </c>
      <c r="J23" s="527" t="s">
        <v>381</v>
      </c>
      <c r="K23" s="527" t="s">
        <v>382</v>
      </c>
      <c r="L23" s="525" t="s">
        <v>73</v>
      </c>
      <c r="M23" s="539"/>
      <c r="N23" s="539"/>
      <c r="O23" s="539"/>
      <c r="P23" s="524"/>
      <c r="Q23" s="524"/>
      <c r="R23" s="524"/>
      <c r="S23" s="536" t="s">
        <v>1</v>
      </c>
      <c r="T23" s="536" t="s">
        <v>8</v>
      </c>
      <c r="U23" s="546"/>
      <c r="V23" s="546"/>
      <c r="W23" s="524"/>
      <c r="X23" s="524"/>
      <c r="Y23" s="524"/>
      <c r="Z23" s="524"/>
      <c r="AA23" s="524"/>
      <c r="AB23" s="524"/>
      <c r="AC23" s="524"/>
      <c r="AD23" s="524"/>
      <c r="AE23" s="524"/>
      <c r="AF23" s="524" t="s">
        <v>19</v>
      </c>
      <c r="AG23" s="524"/>
      <c r="AH23" s="524" t="s">
        <v>18</v>
      </c>
      <c r="AI23" s="524"/>
      <c r="AJ23" s="529" t="s">
        <v>17</v>
      </c>
      <c r="AK23" s="529" t="s">
        <v>16</v>
      </c>
      <c r="AL23" s="529" t="s">
        <v>15</v>
      </c>
      <c r="AM23" s="529" t="s">
        <v>14</v>
      </c>
      <c r="AN23" s="529" t="s">
        <v>13</v>
      </c>
      <c r="AO23" s="529" t="s">
        <v>12</v>
      </c>
      <c r="AP23" s="529" t="s">
        <v>11</v>
      </c>
      <c r="AQ23" s="547" t="s">
        <v>8</v>
      </c>
      <c r="AR23" s="524"/>
      <c r="AS23" s="524"/>
      <c r="AT23" s="524"/>
      <c r="AU23" s="524"/>
      <c r="AV23" s="533"/>
    </row>
    <row r="24" spans="1:48" s="21" customFormat="1" ht="96.7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104" t="s">
        <v>10</v>
      </c>
      <c r="AG24" s="104" t="s">
        <v>9</v>
      </c>
      <c r="AH24" s="105" t="s">
        <v>1</v>
      </c>
      <c r="AI24" s="105" t="s">
        <v>8</v>
      </c>
      <c r="AJ24" s="530"/>
      <c r="AK24" s="530"/>
      <c r="AL24" s="530"/>
      <c r="AM24" s="530"/>
      <c r="AN24" s="530"/>
      <c r="AO24" s="530"/>
      <c r="AP24" s="530"/>
      <c r="AQ24" s="548"/>
      <c r="AR24" s="524"/>
      <c r="AS24" s="524"/>
      <c r="AT24" s="524"/>
      <c r="AU24" s="524"/>
      <c r="AV24" s="5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80">
        <v>1</v>
      </c>
      <c r="B26" s="381" t="s">
        <v>524</v>
      </c>
      <c r="C26" s="381" t="s">
        <v>61</v>
      </c>
      <c r="D26" s="382">
        <f>'6.1. Паспорт сетевой график'!H53</f>
        <v>46022</v>
      </c>
      <c r="E26" s="383"/>
      <c r="F26" s="383"/>
      <c r="G26" s="383">
        <f>'6.2. Паспорт фин осв ввод'!C37</f>
        <v>0.16</v>
      </c>
      <c r="H26" s="383"/>
      <c r="I26" s="383">
        <f>'6.2. Паспорт фин осв ввод'!C39</f>
        <v>3.0100000000000002</v>
      </c>
      <c r="J26" s="383"/>
      <c r="K26" s="383"/>
      <c r="L26" s="383"/>
      <c r="M26" s="403" t="s">
        <v>580</v>
      </c>
      <c r="N26" s="403" t="s">
        <v>581</v>
      </c>
      <c r="O26" s="403" t="s">
        <v>524</v>
      </c>
      <c r="P26" s="404">
        <v>3388.6049600000001</v>
      </c>
      <c r="Q26" s="403" t="s">
        <v>582</v>
      </c>
      <c r="R26" s="404">
        <v>3388.6049600000001</v>
      </c>
      <c r="S26" s="403" t="s">
        <v>583</v>
      </c>
      <c r="T26" s="403" t="s">
        <v>583</v>
      </c>
      <c r="U26" s="405">
        <v>3</v>
      </c>
      <c r="V26" s="405">
        <v>3</v>
      </c>
      <c r="W26" s="403" t="s">
        <v>584</v>
      </c>
      <c r="X26" s="404">
        <v>2699</v>
      </c>
      <c r="Y26" s="403"/>
      <c r="Z26" s="406"/>
      <c r="AA26" s="404"/>
      <c r="AB26" s="404">
        <v>2699</v>
      </c>
      <c r="AC26" s="404" t="s">
        <v>584</v>
      </c>
      <c r="AD26" s="404">
        <f>'8. Общие сведения'!B67*1000</f>
        <v>264.49813999999998</v>
      </c>
      <c r="AE26" s="404"/>
      <c r="AF26" s="405">
        <v>32413559887</v>
      </c>
      <c r="AG26" s="403" t="s">
        <v>585</v>
      </c>
      <c r="AH26" s="406">
        <v>45412</v>
      </c>
      <c r="AI26" s="406">
        <v>45409</v>
      </c>
      <c r="AJ26" s="406">
        <v>45420</v>
      </c>
      <c r="AK26" s="406">
        <v>45432</v>
      </c>
      <c r="AL26" s="403"/>
      <c r="AM26" s="403"/>
      <c r="AN26" s="406"/>
      <c r="AO26" s="403"/>
      <c r="AP26" s="406">
        <v>45450</v>
      </c>
      <c r="AQ26" s="406">
        <v>45450</v>
      </c>
      <c r="AR26" s="406">
        <v>45450</v>
      </c>
      <c r="AS26" s="406">
        <v>45450</v>
      </c>
      <c r="AT26" s="406">
        <v>45571</v>
      </c>
      <c r="AU26" s="403"/>
      <c r="AV26" s="403" t="s">
        <v>586</v>
      </c>
    </row>
    <row r="27" spans="1:48" s="19" customFormat="1" ht="22.5" x14ac:dyDescent="0.2">
      <c r="A27" s="380"/>
      <c r="B27" s="381"/>
      <c r="C27" s="381"/>
      <c r="D27" s="382"/>
      <c r="E27" s="383"/>
      <c r="F27" s="383"/>
      <c r="G27" s="383"/>
      <c r="H27" s="383"/>
      <c r="I27" s="383"/>
      <c r="J27" s="383"/>
      <c r="K27" s="383"/>
      <c r="L27" s="383"/>
      <c r="M27" s="403"/>
      <c r="N27" s="403"/>
      <c r="O27" s="403"/>
      <c r="P27" s="404"/>
      <c r="Q27" s="403"/>
      <c r="R27" s="404"/>
      <c r="S27" s="403"/>
      <c r="T27" s="403"/>
      <c r="U27" s="405"/>
      <c r="V27" s="405"/>
      <c r="W27" s="403" t="s">
        <v>587</v>
      </c>
      <c r="X27" s="404">
        <v>3371.66194</v>
      </c>
      <c r="Y27" s="403"/>
      <c r="Z27" s="406"/>
      <c r="AA27" s="404"/>
      <c r="AB27" s="404"/>
      <c r="AC27" s="404"/>
      <c r="AD27" s="404"/>
      <c r="AE27" s="404"/>
      <c r="AF27" s="405"/>
      <c r="AG27" s="403"/>
      <c r="AH27" s="406"/>
      <c r="AI27" s="406"/>
      <c r="AJ27" s="406"/>
      <c r="AK27" s="406"/>
      <c r="AL27" s="403"/>
      <c r="AM27" s="403"/>
      <c r="AN27" s="406"/>
      <c r="AO27" s="403"/>
      <c r="AP27" s="406"/>
      <c r="AQ27" s="406"/>
      <c r="AR27" s="406"/>
      <c r="AS27" s="406"/>
      <c r="AT27" s="406"/>
      <c r="AU27" s="403"/>
      <c r="AV27" s="403"/>
    </row>
    <row r="28" spans="1:48" s="19" customFormat="1" ht="22.5" x14ac:dyDescent="0.2">
      <c r="A28" s="380"/>
      <c r="B28" s="381"/>
      <c r="C28" s="381"/>
      <c r="D28" s="382"/>
      <c r="E28" s="383"/>
      <c r="F28" s="383"/>
      <c r="G28" s="383"/>
      <c r="H28" s="383"/>
      <c r="I28" s="383"/>
      <c r="J28" s="383"/>
      <c r="K28" s="383"/>
      <c r="L28" s="383"/>
      <c r="M28" s="403"/>
      <c r="N28" s="403"/>
      <c r="O28" s="403"/>
      <c r="P28" s="404"/>
      <c r="Q28" s="403"/>
      <c r="R28" s="404"/>
      <c r="S28" s="403"/>
      <c r="T28" s="403"/>
      <c r="U28" s="405"/>
      <c r="V28" s="405"/>
      <c r="W28" s="403" t="s">
        <v>588</v>
      </c>
      <c r="X28" s="404">
        <v>3387.7716</v>
      </c>
      <c r="Y28" s="403"/>
      <c r="Z28" s="406"/>
      <c r="AA28" s="404"/>
      <c r="AB28" s="404"/>
      <c r="AC28" s="404"/>
      <c r="AD28" s="404"/>
      <c r="AE28" s="404"/>
      <c r="AF28" s="405"/>
      <c r="AG28" s="403"/>
      <c r="AH28" s="406"/>
      <c r="AI28" s="406"/>
      <c r="AJ28" s="406"/>
      <c r="AK28" s="406"/>
      <c r="AL28" s="403"/>
      <c r="AM28" s="403"/>
      <c r="AN28" s="406"/>
      <c r="AO28" s="403"/>
      <c r="AP28" s="406"/>
      <c r="AQ28" s="406"/>
      <c r="AR28" s="406"/>
      <c r="AS28" s="406"/>
      <c r="AT28" s="406"/>
      <c r="AU28" s="403"/>
      <c r="AV28" s="403"/>
    </row>
    <row r="29" spans="1:48" s="19" customFormat="1" ht="11.25" x14ac:dyDescent="0.2">
      <c r="A29" s="380"/>
      <c r="B29" s="381"/>
      <c r="C29" s="381"/>
      <c r="D29" s="382"/>
      <c r="E29" s="383"/>
      <c r="F29" s="383"/>
      <c r="G29" s="383"/>
      <c r="H29" s="383"/>
      <c r="I29" s="383"/>
      <c r="J29" s="383"/>
      <c r="K29" s="383"/>
      <c r="L29" s="383"/>
      <c r="M29" s="407"/>
      <c r="N29" s="407"/>
      <c r="O29" s="407"/>
      <c r="P29" s="408"/>
      <c r="Q29" s="407"/>
      <c r="R29" s="408"/>
      <c r="S29" s="407"/>
      <c r="T29" s="407"/>
      <c r="U29" s="409"/>
      <c r="V29" s="409"/>
      <c r="W29" s="407"/>
      <c r="X29" s="408"/>
      <c r="Y29" s="407"/>
      <c r="Z29" s="410"/>
      <c r="AA29" s="408"/>
      <c r="AB29" s="408"/>
      <c r="AC29" s="408"/>
      <c r="AD29" s="408"/>
      <c r="AE29" s="408"/>
      <c r="AF29" s="409"/>
      <c r="AG29" s="407"/>
      <c r="AH29" s="410"/>
      <c r="AI29" s="410"/>
      <c r="AJ29" s="410"/>
      <c r="AK29" s="410"/>
      <c r="AL29" s="407"/>
      <c r="AM29" s="407"/>
      <c r="AN29" s="410"/>
      <c r="AO29" s="407"/>
      <c r="AP29" s="410"/>
      <c r="AQ29" s="410"/>
      <c r="AR29" s="410"/>
      <c r="AS29" s="410"/>
      <c r="AT29" s="410"/>
      <c r="AU29" s="407"/>
      <c r="AV29" s="407"/>
    </row>
    <row r="30" spans="1:48" s="19" customFormat="1" ht="11.25" x14ac:dyDescent="0.2">
      <c r="A30" s="380"/>
      <c r="B30" s="381"/>
      <c r="C30" s="381"/>
      <c r="D30" s="382"/>
      <c r="E30" s="383"/>
      <c r="F30" s="383"/>
      <c r="G30" s="383"/>
      <c r="H30" s="383"/>
      <c r="I30" s="383"/>
      <c r="J30" s="383"/>
      <c r="K30" s="383"/>
      <c r="L30" s="383"/>
      <c r="M30" s="407"/>
      <c r="N30" s="407"/>
      <c r="O30" s="407"/>
      <c r="P30" s="408"/>
      <c r="Q30" s="407"/>
      <c r="R30" s="408"/>
      <c r="S30" s="407"/>
      <c r="T30" s="407"/>
      <c r="U30" s="409"/>
      <c r="V30" s="409"/>
      <c r="W30" s="407"/>
      <c r="X30" s="408"/>
      <c r="Y30" s="407"/>
      <c r="Z30" s="410"/>
      <c r="AA30" s="408"/>
      <c r="AB30" s="408"/>
      <c r="AC30" s="408"/>
      <c r="AD30" s="408"/>
      <c r="AE30" s="408"/>
      <c r="AF30" s="409"/>
      <c r="AG30" s="407"/>
      <c r="AH30" s="410"/>
      <c r="AI30" s="410"/>
      <c r="AJ30" s="410"/>
      <c r="AK30" s="410"/>
      <c r="AL30" s="407"/>
      <c r="AM30" s="407"/>
      <c r="AN30" s="410"/>
      <c r="AO30" s="407"/>
      <c r="AP30" s="410"/>
      <c r="AQ30" s="410"/>
      <c r="AR30" s="410"/>
      <c r="AS30" s="410"/>
      <c r="AT30" s="410"/>
      <c r="AU30" s="407"/>
      <c r="AV30" s="407"/>
    </row>
    <row r="31" spans="1:48" s="19" customFormat="1" ht="11.25" x14ac:dyDescent="0.2">
      <c r="A31" s="380"/>
      <c r="B31" s="381"/>
      <c r="C31" s="381"/>
      <c r="D31" s="382"/>
      <c r="E31" s="383"/>
      <c r="F31" s="383"/>
      <c r="G31" s="383"/>
      <c r="H31" s="383"/>
      <c r="I31" s="383"/>
      <c r="J31" s="383"/>
      <c r="K31" s="383"/>
      <c r="L31" s="383"/>
      <c r="M31" s="407"/>
      <c r="N31" s="407"/>
      <c r="O31" s="407"/>
      <c r="P31" s="408"/>
      <c r="Q31" s="407"/>
      <c r="R31" s="408"/>
      <c r="S31" s="407"/>
      <c r="T31" s="407"/>
      <c r="U31" s="409"/>
      <c r="V31" s="409"/>
      <c r="W31" s="407"/>
      <c r="X31" s="408"/>
      <c r="Y31" s="407"/>
      <c r="Z31" s="410"/>
      <c r="AA31" s="408"/>
      <c r="AB31" s="408"/>
      <c r="AC31" s="408"/>
      <c r="AD31" s="408"/>
      <c r="AE31" s="408"/>
      <c r="AF31" s="409"/>
      <c r="AG31" s="407"/>
      <c r="AH31" s="410"/>
      <c r="AI31" s="410"/>
      <c r="AJ31" s="410"/>
      <c r="AK31" s="410"/>
      <c r="AL31" s="407"/>
      <c r="AM31" s="407"/>
      <c r="AN31" s="410"/>
      <c r="AO31" s="407"/>
      <c r="AP31" s="410"/>
      <c r="AQ31" s="410"/>
      <c r="AR31" s="410"/>
      <c r="AS31" s="410"/>
      <c r="AT31" s="410"/>
      <c r="AU31" s="407"/>
      <c r="AV31" s="407"/>
    </row>
    <row r="32" spans="1:48" x14ac:dyDescent="0.25">
      <c r="AD32" s="411">
        <f>SUM(AD26:AD31)</f>
        <v>264.49813999999998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B28" sqref="B28"/>
    </sheetView>
  </sheetViews>
  <sheetFormatPr defaultRowHeight="15.75" x14ac:dyDescent="0.25"/>
  <cols>
    <col min="1" max="1" width="66.140625" style="80" customWidth="1"/>
    <col min="2" max="2" width="80" style="80" customWidth="1"/>
    <col min="3" max="3" width="11.42578125" style="81" hidden="1" customWidth="1"/>
    <col min="4" max="256" width="8.85546875" style="81"/>
    <col min="257" max="258" width="66.140625" style="81" customWidth="1"/>
    <col min="259" max="512" width="8.85546875" style="81"/>
    <col min="513" max="514" width="66.140625" style="81" customWidth="1"/>
    <col min="515" max="768" width="8.85546875" style="81"/>
    <col min="769" max="770" width="66.140625" style="81" customWidth="1"/>
    <col min="771" max="1024" width="8.85546875" style="81"/>
    <col min="1025" max="1026" width="66.140625" style="81" customWidth="1"/>
    <col min="1027" max="1280" width="8.85546875" style="81"/>
    <col min="1281" max="1282" width="66.140625" style="81" customWidth="1"/>
    <col min="1283" max="1536" width="8.85546875" style="81"/>
    <col min="1537" max="1538" width="66.140625" style="81" customWidth="1"/>
    <col min="1539" max="1792" width="8.85546875" style="81"/>
    <col min="1793" max="1794" width="66.140625" style="81" customWidth="1"/>
    <col min="1795" max="2048" width="8.85546875" style="81"/>
    <col min="2049" max="2050" width="66.140625" style="81" customWidth="1"/>
    <col min="2051" max="2304" width="8.85546875" style="81"/>
    <col min="2305" max="2306" width="66.140625" style="81" customWidth="1"/>
    <col min="2307" max="2560" width="8.85546875" style="81"/>
    <col min="2561" max="2562" width="66.140625" style="81" customWidth="1"/>
    <col min="2563" max="2816" width="8.85546875" style="81"/>
    <col min="2817" max="2818" width="66.140625" style="81" customWidth="1"/>
    <col min="2819" max="3072" width="8.85546875" style="81"/>
    <col min="3073" max="3074" width="66.140625" style="81" customWidth="1"/>
    <col min="3075" max="3328" width="8.85546875" style="81"/>
    <col min="3329" max="3330" width="66.140625" style="81" customWidth="1"/>
    <col min="3331" max="3584" width="8.85546875" style="81"/>
    <col min="3585" max="3586" width="66.140625" style="81" customWidth="1"/>
    <col min="3587" max="3840" width="8.85546875" style="81"/>
    <col min="3841" max="3842" width="66.140625" style="81" customWidth="1"/>
    <col min="3843" max="4096" width="8.85546875" style="81"/>
    <col min="4097" max="4098" width="66.140625" style="81" customWidth="1"/>
    <col min="4099" max="4352" width="8.85546875" style="81"/>
    <col min="4353" max="4354" width="66.140625" style="81" customWidth="1"/>
    <col min="4355" max="4608" width="8.85546875" style="81"/>
    <col min="4609" max="4610" width="66.140625" style="81" customWidth="1"/>
    <col min="4611" max="4864" width="8.85546875" style="81"/>
    <col min="4865" max="4866" width="66.140625" style="81" customWidth="1"/>
    <col min="4867" max="5120" width="8.85546875" style="81"/>
    <col min="5121" max="5122" width="66.140625" style="81" customWidth="1"/>
    <col min="5123" max="5376" width="8.85546875" style="81"/>
    <col min="5377" max="5378" width="66.140625" style="81" customWidth="1"/>
    <col min="5379" max="5632" width="8.85546875" style="81"/>
    <col min="5633" max="5634" width="66.140625" style="81" customWidth="1"/>
    <col min="5635" max="5888" width="8.85546875" style="81"/>
    <col min="5889" max="5890" width="66.140625" style="81" customWidth="1"/>
    <col min="5891" max="6144" width="8.85546875" style="81"/>
    <col min="6145" max="6146" width="66.140625" style="81" customWidth="1"/>
    <col min="6147" max="6400" width="8.85546875" style="81"/>
    <col min="6401" max="6402" width="66.140625" style="81" customWidth="1"/>
    <col min="6403" max="6656" width="8.85546875" style="81"/>
    <col min="6657" max="6658" width="66.140625" style="81" customWidth="1"/>
    <col min="6659" max="6912" width="8.85546875" style="81"/>
    <col min="6913" max="6914" width="66.140625" style="81" customWidth="1"/>
    <col min="6915" max="7168" width="8.85546875" style="81"/>
    <col min="7169" max="7170" width="66.140625" style="81" customWidth="1"/>
    <col min="7171" max="7424" width="8.85546875" style="81"/>
    <col min="7425" max="7426" width="66.140625" style="81" customWidth="1"/>
    <col min="7427" max="7680" width="8.85546875" style="81"/>
    <col min="7681" max="7682" width="66.140625" style="81" customWidth="1"/>
    <col min="7683" max="7936" width="8.85546875" style="81"/>
    <col min="7937" max="7938" width="66.140625" style="81" customWidth="1"/>
    <col min="7939" max="8192" width="8.85546875" style="81"/>
    <col min="8193" max="8194" width="66.140625" style="81" customWidth="1"/>
    <col min="8195" max="8448" width="8.85546875" style="81"/>
    <col min="8449" max="8450" width="66.140625" style="81" customWidth="1"/>
    <col min="8451" max="8704" width="8.85546875" style="81"/>
    <col min="8705" max="8706" width="66.140625" style="81" customWidth="1"/>
    <col min="8707" max="8960" width="8.85546875" style="81"/>
    <col min="8961" max="8962" width="66.140625" style="81" customWidth="1"/>
    <col min="8963" max="9216" width="8.85546875" style="81"/>
    <col min="9217" max="9218" width="66.140625" style="81" customWidth="1"/>
    <col min="9219" max="9472" width="8.85546875" style="81"/>
    <col min="9473" max="9474" width="66.140625" style="81" customWidth="1"/>
    <col min="9475" max="9728" width="8.85546875" style="81"/>
    <col min="9729" max="9730" width="66.140625" style="81" customWidth="1"/>
    <col min="9731" max="9984" width="8.85546875" style="81"/>
    <col min="9985" max="9986" width="66.140625" style="81" customWidth="1"/>
    <col min="9987" max="10240" width="8.85546875" style="81"/>
    <col min="10241" max="10242" width="66.140625" style="81" customWidth="1"/>
    <col min="10243" max="10496" width="8.85546875" style="81"/>
    <col min="10497" max="10498" width="66.140625" style="81" customWidth="1"/>
    <col min="10499" max="10752" width="8.85546875" style="81"/>
    <col min="10753" max="10754" width="66.140625" style="81" customWidth="1"/>
    <col min="10755" max="11008" width="8.85546875" style="81"/>
    <col min="11009" max="11010" width="66.140625" style="81" customWidth="1"/>
    <col min="11011" max="11264" width="8.85546875" style="81"/>
    <col min="11265" max="11266" width="66.140625" style="81" customWidth="1"/>
    <col min="11267" max="11520" width="8.85546875" style="81"/>
    <col min="11521" max="11522" width="66.140625" style="81" customWidth="1"/>
    <col min="11523" max="11776" width="8.85546875" style="81"/>
    <col min="11777" max="11778" width="66.140625" style="81" customWidth="1"/>
    <col min="11779" max="12032" width="8.85546875" style="81"/>
    <col min="12033" max="12034" width="66.140625" style="81" customWidth="1"/>
    <col min="12035" max="12288" width="8.85546875" style="81"/>
    <col min="12289" max="12290" width="66.140625" style="81" customWidth="1"/>
    <col min="12291" max="12544" width="8.85546875" style="81"/>
    <col min="12545" max="12546" width="66.140625" style="81" customWidth="1"/>
    <col min="12547" max="12800" width="8.85546875" style="81"/>
    <col min="12801" max="12802" width="66.140625" style="81" customWidth="1"/>
    <col min="12803" max="13056" width="8.85546875" style="81"/>
    <col min="13057" max="13058" width="66.140625" style="81" customWidth="1"/>
    <col min="13059" max="13312" width="8.85546875" style="81"/>
    <col min="13313" max="13314" width="66.140625" style="81" customWidth="1"/>
    <col min="13315" max="13568" width="8.85546875" style="81"/>
    <col min="13569" max="13570" width="66.140625" style="81" customWidth="1"/>
    <col min="13571" max="13824" width="8.85546875" style="81"/>
    <col min="13825" max="13826" width="66.140625" style="81" customWidth="1"/>
    <col min="13827" max="14080" width="8.85546875" style="81"/>
    <col min="14081" max="14082" width="66.140625" style="81" customWidth="1"/>
    <col min="14083" max="14336" width="8.85546875" style="81"/>
    <col min="14337" max="14338" width="66.140625" style="81" customWidth="1"/>
    <col min="14339" max="14592" width="8.85546875" style="81"/>
    <col min="14593" max="14594" width="66.140625" style="81" customWidth="1"/>
    <col min="14595" max="14848" width="8.85546875" style="81"/>
    <col min="14849" max="14850" width="66.140625" style="81" customWidth="1"/>
    <col min="14851" max="15104" width="8.85546875" style="81"/>
    <col min="15105" max="15106" width="66.140625" style="81" customWidth="1"/>
    <col min="15107" max="15360" width="8.85546875" style="81"/>
    <col min="15361" max="15362" width="66.140625" style="81" customWidth="1"/>
    <col min="15363" max="15616" width="8.85546875" style="81"/>
    <col min="15617" max="15618" width="66.140625" style="81" customWidth="1"/>
    <col min="15619" max="15872" width="8.85546875" style="81"/>
    <col min="15873" max="15874" width="66.140625" style="81" customWidth="1"/>
    <col min="15875" max="16128" width="8.85546875" style="81"/>
    <col min="16129" max="16130" width="66.140625" style="81" customWidth="1"/>
    <col min="16131" max="16384" width="8.85546875" style="81"/>
  </cols>
  <sheetData>
    <row r="1" spans="1:8" ht="18.75" x14ac:dyDescent="0.25">
      <c r="B1" s="32" t="s">
        <v>65</v>
      </c>
    </row>
    <row r="2" spans="1:8" ht="18.75" x14ac:dyDescent="0.3">
      <c r="B2" s="14" t="s">
        <v>7</v>
      </c>
    </row>
    <row r="3" spans="1:8" ht="18.75" x14ac:dyDescent="0.3">
      <c r="B3" s="14" t="s">
        <v>527</v>
      </c>
    </row>
    <row r="4" spans="1:8" x14ac:dyDescent="0.25">
      <c r="B4" s="36"/>
    </row>
    <row r="5" spans="1:8" ht="18.75" x14ac:dyDescent="0.3">
      <c r="A5" s="555" t="str">
        <f>'1. паспорт местоположение'!A5:C5</f>
        <v>Год раскрытия информации: 2025 год</v>
      </c>
      <c r="B5" s="555"/>
      <c r="C5" s="62"/>
      <c r="D5" s="62"/>
      <c r="E5" s="62"/>
      <c r="F5" s="62"/>
      <c r="G5" s="62"/>
      <c r="H5" s="62"/>
    </row>
    <row r="6" spans="1:8" ht="18.75" x14ac:dyDescent="0.3">
      <c r="A6" s="237"/>
      <c r="B6" s="237"/>
      <c r="C6" s="237"/>
      <c r="D6" s="237"/>
      <c r="E6" s="237"/>
      <c r="F6" s="237"/>
      <c r="G6" s="237"/>
      <c r="H6" s="237"/>
    </row>
    <row r="7" spans="1:8" ht="18.75" x14ac:dyDescent="0.25">
      <c r="A7" s="429" t="s">
        <v>6</v>
      </c>
      <c r="B7" s="429"/>
      <c r="C7" s="109"/>
      <c r="D7" s="109"/>
      <c r="E7" s="109"/>
      <c r="F7" s="109"/>
      <c r="G7" s="109"/>
      <c r="H7" s="109"/>
    </row>
    <row r="8" spans="1:8" ht="18.75" x14ac:dyDescent="0.25">
      <c r="A8" s="109"/>
      <c r="B8" s="109"/>
      <c r="C8" s="109"/>
      <c r="D8" s="109"/>
      <c r="E8" s="109"/>
      <c r="F8" s="109"/>
      <c r="G8" s="109"/>
      <c r="H8" s="109"/>
    </row>
    <row r="9" spans="1:8" x14ac:dyDescent="0.25">
      <c r="A9" s="430" t="str">
        <f>'1. паспорт местоположение'!A9:C9</f>
        <v>Акционерное общество "Россети Янтарь" ДЗО  ПАО "Россети"</v>
      </c>
      <c r="B9" s="430"/>
      <c r="C9" s="122"/>
      <c r="D9" s="122"/>
      <c r="E9" s="122"/>
      <c r="F9" s="122"/>
      <c r="G9" s="122"/>
      <c r="H9" s="122"/>
    </row>
    <row r="10" spans="1:8" x14ac:dyDescent="0.25">
      <c r="A10" s="434" t="s">
        <v>5</v>
      </c>
      <c r="B10" s="434"/>
      <c r="C10" s="111"/>
      <c r="D10" s="111"/>
      <c r="E10" s="111"/>
      <c r="F10" s="111"/>
      <c r="G10" s="111"/>
      <c r="H10" s="111"/>
    </row>
    <row r="11" spans="1:8" ht="18.75" x14ac:dyDescent="0.25">
      <c r="A11" s="109"/>
      <c r="B11" s="109"/>
      <c r="C11" s="109"/>
      <c r="D11" s="109"/>
      <c r="E11" s="109"/>
      <c r="F11" s="109"/>
      <c r="G11" s="109"/>
      <c r="H11" s="109"/>
    </row>
    <row r="12" spans="1:8" ht="30.75" customHeight="1" x14ac:dyDescent="0.25">
      <c r="A12" s="552" t="str">
        <f>'1. паспорт местоположение'!A12:C12</f>
        <v>N_18-0871</v>
      </c>
      <c r="B12" s="552"/>
      <c r="C12" s="122"/>
      <c r="D12" s="122"/>
      <c r="E12" s="122"/>
      <c r="F12" s="122"/>
      <c r="G12" s="122"/>
      <c r="H12" s="122"/>
    </row>
    <row r="13" spans="1:8" x14ac:dyDescent="0.25">
      <c r="A13" s="434" t="s">
        <v>4</v>
      </c>
      <c r="B13" s="434"/>
      <c r="C13" s="111"/>
      <c r="D13" s="111"/>
      <c r="E13" s="111"/>
      <c r="F13" s="111"/>
      <c r="G13" s="111"/>
      <c r="H13" s="111"/>
    </row>
    <row r="14" spans="1:8" ht="18.75" x14ac:dyDescent="0.25">
      <c r="A14" s="10"/>
      <c r="B14" s="10"/>
      <c r="C14" s="10"/>
      <c r="D14" s="10"/>
      <c r="E14" s="10"/>
      <c r="F14" s="10"/>
      <c r="G14" s="10"/>
      <c r="H14" s="10"/>
    </row>
    <row r="15" spans="1:8" ht="74.25" customHeight="1" x14ac:dyDescent="0.25">
      <c r="A15" s="552" t="str">
        <f>'1. паспорт местоположение'!A15:C15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552"/>
      <c r="C15" s="323"/>
      <c r="D15" s="122"/>
      <c r="E15" s="122"/>
      <c r="F15" s="122"/>
      <c r="G15" s="122"/>
      <c r="H15" s="122"/>
    </row>
    <row r="16" spans="1:8" x14ac:dyDescent="0.25">
      <c r="A16" s="434" t="s">
        <v>3</v>
      </c>
      <c r="B16" s="434"/>
      <c r="C16" s="111"/>
      <c r="D16" s="111"/>
      <c r="E16" s="111"/>
      <c r="F16" s="111"/>
      <c r="G16" s="111"/>
      <c r="H16" s="111"/>
    </row>
    <row r="17" spans="1:4" x14ac:dyDescent="0.25">
      <c r="B17" s="82"/>
    </row>
    <row r="18" spans="1:4" ht="33.75" customHeight="1" x14ac:dyDescent="0.25">
      <c r="A18" s="553" t="s">
        <v>460</v>
      </c>
      <c r="B18" s="554"/>
    </row>
    <row r="19" spans="1:4" x14ac:dyDescent="0.25">
      <c r="B19" s="36"/>
    </row>
    <row r="20" spans="1:4" ht="16.5" thickBot="1" x14ac:dyDescent="0.3">
      <c r="B20" s="83"/>
    </row>
    <row r="21" spans="1:4" ht="119.25" customHeight="1" thickBot="1" x14ac:dyDescent="0.3">
      <c r="A21" s="84" t="s">
        <v>330</v>
      </c>
      <c r="B21" s="324" t="str">
        <f>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row>
    <row r="22" spans="1:4" ht="27" customHeight="1" thickBot="1" x14ac:dyDescent="0.3">
      <c r="A22" s="84" t="s">
        <v>331</v>
      </c>
      <c r="B22" s="85" t="s">
        <v>534</v>
      </c>
    </row>
    <row r="23" spans="1:4" ht="16.5" thickBot="1" x14ac:dyDescent="0.3">
      <c r="A23" s="84" t="s">
        <v>305</v>
      </c>
      <c r="B23" s="86" t="s">
        <v>514</v>
      </c>
    </row>
    <row r="24" spans="1:4" ht="16.5" thickBot="1" x14ac:dyDescent="0.3">
      <c r="A24" s="84" t="s">
        <v>332</v>
      </c>
      <c r="B24" s="335" t="s">
        <v>551</v>
      </c>
    </row>
    <row r="25" spans="1:4" ht="16.5" thickBot="1" x14ac:dyDescent="0.3">
      <c r="A25" s="87" t="s">
        <v>333</v>
      </c>
      <c r="B25" s="85">
        <v>2025</v>
      </c>
    </row>
    <row r="26" spans="1:4" ht="16.5" thickBot="1" x14ac:dyDescent="0.3">
      <c r="A26" s="88" t="s">
        <v>334</v>
      </c>
      <c r="B26" s="89" t="s">
        <v>593</v>
      </c>
    </row>
    <row r="27" spans="1:4" ht="29.25" thickBot="1" x14ac:dyDescent="0.3">
      <c r="A27" s="96" t="s">
        <v>568</v>
      </c>
      <c r="B27" s="236">
        <f>'6.2. Паспорт фин осв ввод'!C24</f>
        <v>14.89857965</v>
      </c>
    </row>
    <row r="28" spans="1:4" ht="16.5" thickBot="1" x14ac:dyDescent="0.3">
      <c r="A28" s="91" t="s">
        <v>335</v>
      </c>
      <c r="B28" s="91" t="s">
        <v>535</v>
      </c>
    </row>
    <row r="29" spans="1:4" ht="29.25" thickBot="1" x14ac:dyDescent="0.3">
      <c r="A29" s="97" t="s">
        <v>336</v>
      </c>
      <c r="B29" s="336">
        <f>'7. Паспорт отчет о закупке'!AD32/1000</f>
        <v>0.26449813999999999</v>
      </c>
    </row>
    <row r="30" spans="1:4" ht="29.25" thickBot="1" x14ac:dyDescent="0.3">
      <c r="A30" s="97" t="s">
        <v>337</v>
      </c>
      <c r="B30" s="336">
        <f>B32+B49+B66</f>
        <v>0.26449813999999999</v>
      </c>
      <c r="C30" s="50"/>
      <c r="D30" s="50"/>
    </row>
    <row r="31" spans="1:4" ht="16.5" thickBot="1" x14ac:dyDescent="0.3">
      <c r="A31" s="91" t="s">
        <v>338</v>
      </c>
      <c r="B31" s="240"/>
      <c r="C31" s="50"/>
      <c r="D31" s="50"/>
    </row>
    <row r="32" spans="1:4" ht="29.25" thickBot="1" x14ac:dyDescent="0.3">
      <c r="A32" s="97" t="s">
        <v>339</v>
      </c>
      <c r="B32" s="336">
        <f>SUMIF(C33:C48,10,B33:B48)</f>
        <v>0</v>
      </c>
      <c r="C32" s="50"/>
      <c r="D32" s="50"/>
    </row>
    <row r="33" spans="1:4" s="241" customFormat="1" ht="16.5" thickBot="1" x14ac:dyDescent="0.3">
      <c r="A33" s="246" t="s">
        <v>340</v>
      </c>
      <c r="B33" s="384"/>
      <c r="C33" s="50">
        <v>10</v>
      </c>
      <c r="D33" s="50"/>
    </row>
    <row r="34" spans="1:4" ht="16.5" thickBot="1" x14ac:dyDescent="0.3">
      <c r="A34" s="91" t="s">
        <v>341</v>
      </c>
      <c r="B34" s="242">
        <f>B33/$B$27</f>
        <v>0</v>
      </c>
      <c r="C34" s="50"/>
      <c r="D34" s="50"/>
    </row>
    <row r="35" spans="1:4" ht="16.5" thickBot="1" x14ac:dyDescent="0.3">
      <c r="A35" s="91" t="s">
        <v>342</v>
      </c>
      <c r="B35" s="336"/>
      <c r="C35" s="50">
        <v>1</v>
      </c>
      <c r="D35" s="50"/>
    </row>
    <row r="36" spans="1:4" ht="16.5" thickBot="1" x14ac:dyDescent="0.3">
      <c r="A36" s="91" t="s">
        <v>343</v>
      </c>
      <c r="B36" s="336"/>
      <c r="C36" s="50">
        <v>2</v>
      </c>
      <c r="D36" s="50"/>
    </row>
    <row r="37" spans="1:4" s="241" customFormat="1" ht="16.5" thickBot="1" x14ac:dyDescent="0.3">
      <c r="A37" s="246" t="s">
        <v>340</v>
      </c>
      <c r="B37" s="384"/>
      <c r="C37" s="50">
        <v>10</v>
      </c>
      <c r="D37" s="50"/>
    </row>
    <row r="38" spans="1:4" ht="16.5" thickBot="1" x14ac:dyDescent="0.3">
      <c r="A38" s="91" t="s">
        <v>341</v>
      </c>
      <c r="B38" s="242">
        <f t="shared" ref="B38" si="0">B37/$B$27</f>
        <v>0</v>
      </c>
      <c r="C38" s="50"/>
      <c r="D38" s="50"/>
    </row>
    <row r="39" spans="1:4" ht="16.5" thickBot="1" x14ac:dyDescent="0.3">
      <c r="A39" s="91" t="s">
        <v>342</v>
      </c>
      <c r="B39" s="336"/>
      <c r="C39" s="50">
        <v>1</v>
      </c>
      <c r="D39" s="50"/>
    </row>
    <row r="40" spans="1:4" ht="16.5" thickBot="1" x14ac:dyDescent="0.3">
      <c r="A40" s="91" t="s">
        <v>343</v>
      </c>
      <c r="B40" s="336"/>
      <c r="C40" s="50">
        <v>2</v>
      </c>
      <c r="D40" s="50"/>
    </row>
    <row r="41" spans="1:4" ht="16.5" thickBot="1" x14ac:dyDescent="0.3">
      <c r="A41" s="246" t="s">
        <v>340</v>
      </c>
      <c r="B41" s="384"/>
      <c r="C41" s="50">
        <v>10</v>
      </c>
      <c r="D41" s="50"/>
    </row>
    <row r="42" spans="1:4" s="241" customFormat="1" ht="16.5" thickBot="1" x14ac:dyDescent="0.3">
      <c r="A42" s="91" t="s">
        <v>341</v>
      </c>
      <c r="B42" s="242">
        <f t="shared" ref="B42" si="1">B41/$B$27</f>
        <v>0</v>
      </c>
      <c r="C42" s="50"/>
      <c r="D42" s="50"/>
    </row>
    <row r="43" spans="1:4" ht="16.5" thickBot="1" x14ac:dyDescent="0.3">
      <c r="A43" s="91" t="s">
        <v>342</v>
      </c>
      <c r="B43" s="336"/>
      <c r="C43" s="50">
        <v>1</v>
      </c>
      <c r="D43" s="50"/>
    </row>
    <row r="44" spans="1:4" ht="16.5" thickBot="1" x14ac:dyDescent="0.3">
      <c r="A44" s="91" t="s">
        <v>343</v>
      </c>
      <c r="B44" s="336"/>
      <c r="C44" s="50">
        <v>2</v>
      </c>
      <c r="D44" s="50"/>
    </row>
    <row r="45" spans="1:4" ht="16.5" thickBot="1" x14ac:dyDescent="0.3">
      <c r="A45" s="246" t="s">
        <v>340</v>
      </c>
      <c r="B45" s="384"/>
      <c r="C45" s="50">
        <v>10</v>
      </c>
      <c r="D45" s="50"/>
    </row>
    <row r="46" spans="1:4" s="241" customFormat="1" ht="16.5" thickBot="1" x14ac:dyDescent="0.3">
      <c r="A46" s="91" t="s">
        <v>341</v>
      </c>
      <c r="B46" s="242">
        <f t="shared" ref="B46" si="2">B45/$B$27</f>
        <v>0</v>
      </c>
      <c r="C46" s="50"/>
      <c r="D46" s="50"/>
    </row>
    <row r="47" spans="1:4" ht="16.5" thickBot="1" x14ac:dyDescent="0.3">
      <c r="A47" s="91" t="s">
        <v>342</v>
      </c>
      <c r="B47" s="336"/>
      <c r="C47" s="50">
        <v>1</v>
      </c>
      <c r="D47" s="50"/>
    </row>
    <row r="48" spans="1:4" ht="16.5" thickBot="1" x14ac:dyDescent="0.3">
      <c r="A48" s="91" t="s">
        <v>343</v>
      </c>
      <c r="B48" s="336"/>
      <c r="C48" s="50">
        <v>2</v>
      </c>
      <c r="D48" s="50"/>
    </row>
    <row r="49" spans="1:4" ht="29.25" thickBot="1" x14ac:dyDescent="0.3">
      <c r="A49" s="97" t="s">
        <v>344</v>
      </c>
      <c r="B49" s="336">
        <f>SUMIF(C50:C65,20,B50:B65)</f>
        <v>0</v>
      </c>
      <c r="C49" s="50"/>
      <c r="D49" s="50"/>
    </row>
    <row r="50" spans="1:4" s="241" customFormat="1" ht="16.5" thickBot="1" x14ac:dyDescent="0.3">
      <c r="A50" s="246" t="s">
        <v>340</v>
      </c>
      <c r="B50" s="384"/>
      <c r="C50" s="50">
        <v>20</v>
      </c>
      <c r="D50" s="50"/>
    </row>
    <row r="51" spans="1:4" ht="16.5" thickBot="1" x14ac:dyDescent="0.3">
      <c r="A51" s="91" t="s">
        <v>341</v>
      </c>
      <c r="B51" s="242">
        <f>B50/$B$27</f>
        <v>0</v>
      </c>
      <c r="C51" s="50"/>
      <c r="D51" s="50"/>
    </row>
    <row r="52" spans="1:4" ht="16.5" thickBot="1" x14ac:dyDescent="0.3">
      <c r="A52" s="91" t="s">
        <v>342</v>
      </c>
      <c r="B52" s="336"/>
      <c r="C52" s="50">
        <v>1</v>
      </c>
      <c r="D52" s="50"/>
    </row>
    <row r="53" spans="1:4" ht="16.5" thickBot="1" x14ac:dyDescent="0.3">
      <c r="A53" s="91" t="s">
        <v>343</v>
      </c>
      <c r="B53" s="336"/>
      <c r="C53" s="50">
        <v>2</v>
      </c>
      <c r="D53" s="50"/>
    </row>
    <row r="54" spans="1:4" s="241" customFormat="1" ht="16.5" thickBot="1" x14ac:dyDescent="0.3">
      <c r="A54" s="246" t="s">
        <v>340</v>
      </c>
      <c r="B54" s="384"/>
      <c r="C54" s="50">
        <v>20</v>
      </c>
      <c r="D54" s="50"/>
    </row>
    <row r="55" spans="1:4" ht="16.5" thickBot="1" x14ac:dyDescent="0.3">
      <c r="A55" s="91" t="s">
        <v>341</v>
      </c>
      <c r="B55" s="242">
        <f t="shared" ref="B55" si="3">B54/$B$27</f>
        <v>0</v>
      </c>
      <c r="C55" s="50"/>
      <c r="D55" s="50"/>
    </row>
    <row r="56" spans="1:4" ht="16.5" thickBot="1" x14ac:dyDescent="0.3">
      <c r="A56" s="91" t="s">
        <v>342</v>
      </c>
      <c r="B56" s="336"/>
      <c r="C56" s="50">
        <v>1</v>
      </c>
      <c r="D56" s="50"/>
    </row>
    <row r="57" spans="1:4" ht="16.5" thickBot="1" x14ac:dyDescent="0.3">
      <c r="A57" s="91" t="s">
        <v>343</v>
      </c>
      <c r="B57" s="336"/>
      <c r="C57" s="50">
        <v>2</v>
      </c>
      <c r="D57" s="50"/>
    </row>
    <row r="58" spans="1:4" ht="16.5" thickBot="1" x14ac:dyDescent="0.3">
      <c r="A58" s="246" t="s">
        <v>340</v>
      </c>
      <c r="B58" s="384"/>
      <c r="C58" s="50">
        <v>20</v>
      </c>
      <c r="D58" s="50"/>
    </row>
    <row r="59" spans="1:4" s="241" customFormat="1" ht="16.5" thickBot="1" x14ac:dyDescent="0.3">
      <c r="A59" s="91" t="s">
        <v>341</v>
      </c>
      <c r="B59" s="242">
        <f t="shared" ref="B59" si="4">B58/$B$27</f>
        <v>0</v>
      </c>
      <c r="C59" s="50"/>
      <c r="D59" s="50"/>
    </row>
    <row r="60" spans="1:4" ht="16.5" thickBot="1" x14ac:dyDescent="0.3">
      <c r="A60" s="91" t="s">
        <v>342</v>
      </c>
      <c r="B60" s="336"/>
      <c r="C60" s="50">
        <v>1</v>
      </c>
      <c r="D60" s="50"/>
    </row>
    <row r="61" spans="1:4" ht="16.5" thickBot="1" x14ac:dyDescent="0.3">
      <c r="A61" s="91" t="s">
        <v>343</v>
      </c>
      <c r="B61" s="336"/>
      <c r="C61" s="50">
        <v>2</v>
      </c>
      <c r="D61" s="50"/>
    </row>
    <row r="62" spans="1:4" ht="16.5" thickBot="1" x14ac:dyDescent="0.3">
      <c r="A62" s="246" t="s">
        <v>340</v>
      </c>
      <c r="B62" s="384"/>
      <c r="C62" s="50">
        <v>20</v>
      </c>
      <c r="D62" s="50"/>
    </row>
    <row r="63" spans="1:4" s="241" customFormat="1" ht="16.5" thickBot="1" x14ac:dyDescent="0.3">
      <c r="A63" s="91" t="s">
        <v>341</v>
      </c>
      <c r="B63" s="242">
        <f t="shared" ref="B63" si="5">B62/$B$27</f>
        <v>0</v>
      </c>
      <c r="C63" s="50"/>
      <c r="D63" s="50"/>
    </row>
    <row r="64" spans="1:4" ht="16.5" thickBot="1" x14ac:dyDescent="0.3">
      <c r="A64" s="91" t="s">
        <v>342</v>
      </c>
      <c r="B64" s="336"/>
      <c r="C64" s="50">
        <v>1</v>
      </c>
      <c r="D64" s="50"/>
    </row>
    <row r="65" spans="1:4" ht="16.5" thickBot="1" x14ac:dyDescent="0.3">
      <c r="A65" s="91" t="s">
        <v>343</v>
      </c>
      <c r="B65" s="336"/>
      <c r="C65" s="50">
        <v>2</v>
      </c>
      <c r="D65" s="50"/>
    </row>
    <row r="66" spans="1:4" ht="29.25" thickBot="1" x14ac:dyDescent="0.3">
      <c r="A66" s="97" t="s">
        <v>345</v>
      </c>
      <c r="B66" s="336">
        <f>SUMIF(C67:C82,30,B67:B82)</f>
        <v>0.26449813999999999</v>
      </c>
      <c r="C66" s="50"/>
      <c r="D66" s="50"/>
    </row>
    <row r="67" spans="1:4" s="241" customFormat="1" ht="30.75" thickBot="1" x14ac:dyDescent="0.3">
      <c r="A67" s="412" t="s">
        <v>589</v>
      </c>
      <c r="B67" s="413">
        <v>0.26449813999999999</v>
      </c>
      <c r="C67" s="50">
        <v>30</v>
      </c>
      <c r="D67" s="50"/>
    </row>
    <row r="68" spans="1:4" ht="16.5" thickBot="1" x14ac:dyDescent="0.3">
      <c r="A68" s="91" t="s">
        <v>341</v>
      </c>
      <c r="B68" s="242">
        <f t="shared" ref="B68" si="6">B67/$B$27</f>
        <v>1.7753245357184099E-2</v>
      </c>
      <c r="C68" s="50"/>
      <c r="D68" s="50"/>
    </row>
    <row r="69" spans="1:4" ht="16.5" thickBot="1" x14ac:dyDescent="0.3">
      <c r="A69" s="91" t="s">
        <v>342</v>
      </c>
      <c r="B69" s="336">
        <v>0.26449813999999999</v>
      </c>
      <c r="C69" s="50">
        <v>1</v>
      </c>
      <c r="D69" s="50"/>
    </row>
    <row r="70" spans="1:4" ht="16.5" thickBot="1" x14ac:dyDescent="0.3">
      <c r="A70" s="91" t="s">
        <v>343</v>
      </c>
      <c r="B70" s="336">
        <v>0.26449813999999999</v>
      </c>
      <c r="C70" s="50">
        <v>2</v>
      </c>
      <c r="D70" s="50"/>
    </row>
    <row r="71" spans="1:4" s="241" customFormat="1" ht="16.5" thickBot="1" x14ac:dyDescent="0.3">
      <c r="A71" s="246" t="s">
        <v>340</v>
      </c>
      <c r="B71" s="384"/>
      <c r="C71" s="50">
        <v>30</v>
      </c>
      <c r="D71" s="50"/>
    </row>
    <row r="72" spans="1:4" ht="16.5" thickBot="1" x14ac:dyDescent="0.3">
      <c r="A72" s="91" t="s">
        <v>341</v>
      </c>
      <c r="B72" s="242">
        <f t="shared" ref="B72" si="7">B71/$B$27</f>
        <v>0</v>
      </c>
      <c r="C72" s="50"/>
      <c r="D72" s="50"/>
    </row>
    <row r="73" spans="1:4" ht="16.5" thickBot="1" x14ac:dyDescent="0.3">
      <c r="A73" s="91" t="s">
        <v>342</v>
      </c>
      <c r="B73" s="336"/>
      <c r="C73" s="50">
        <v>1</v>
      </c>
      <c r="D73" s="50"/>
    </row>
    <row r="74" spans="1:4" ht="16.5" thickBot="1" x14ac:dyDescent="0.3">
      <c r="A74" s="91" t="s">
        <v>343</v>
      </c>
      <c r="B74" s="336"/>
      <c r="C74" s="50">
        <v>2</v>
      </c>
      <c r="D74" s="50"/>
    </row>
    <row r="75" spans="1:4" ht="16.5" thickBot="1" x14ac:dyDescent="0.3">
      <c r="A75" s="246" t="s">
        <v>340</v>
      </c>
      <c r="B75" s="384"/>
      <c r="C75" s="50">
        <v>30</v>
      </c>
      <c r="D75" s="50"/>
    </row>
    <row r="76" spans="1:4" ht="16.5" thickBot="1" x14ac:dyDescent="0.3">
      <c r="A76" s="91" t="s">
        <v>341</v>
      </c>
      <c r="B76" s="242">
        <f t="shared" ref="B76" si="8">B75/$B$27</f>
        <v>0</v>
      </c>
      <c r="C76" s="50"/>
      <c r="D76" s="50"/>
    </row>
    <row r="77" spans="1:4" ht="16.5" thickBot="1" x14ac:dyDescent="0.3">
      <c r="A77" s="91" t="s">
        <v>342</v>
      </c>
      <c r="B77" s="336"/>
      <c r="C77" s="50">
        <v>1</v>
      </c>
      <c r="D77" s="50"/>
    </row>
    <row r="78" spans="1:4" ht="16.5" thickBot="1" x14ac:dyDescent="0.3">
      <c r="A78" s="91" t="s">
        <v>343</v>
      </c>
      <c r="B78" s="336"/>
      <c r="C78" s="50">
        <v>2</v>
      </c>
      <c r="D78" s="50"/>
    </row>
    <row r="79" spans="1:4" ht="16.5" thickBot="1" x14ac:dyDescent="0.3">
      <c r="A79" s="246" t="s">
        <v>340</v>
      </c>
      <c r="B79" s="384"/>
      <c r="C79" s="50">
        <v>30</v>
      </c>
      <c r="D79" s="50"/>
    </row>
    <row r="80" spans="1:4" ht="16.5" thickBot="1" x14ac:dyDescent="0.3">
      <c r="A80" s="91" t="s">
        <v>341</v>
      </c>
      <c r="B80" s="242">
        <f t="shared" ref="B80" si="9">B79/$B$27</f>
        <v>0</v>
      </c>
      <c r="C80" s="50"/>
      <c r="D80" s="50"/>
    </row>
    <row r="81" spans="1:4" ht="16.5" thickBot="1" x14ac:dyDescent="0.3">
      <c r="A81" s="91" t="s">
        <v>342</v>
      </c>
      <c r="B81" s="336"/>
      <c r="C81" s="50">
        <v>1</v>
      </c>
      <c r="D81" s="50"/>
    </row>
    <row r="82" spans="1:4" ht="16.5" thickBot="1" x14ac:dyDescent="0.3">
      <c r="A82" s="91" t="s">
        <v>343</v>
      </c>
      <c r="B82" s="336"/>
      <c r="C82" s="50">
        <v>2</v>
      </c>
      <c r="D82" s="50"/>
    </row>
    <row r="83" spans="1:4" ht="29.25" thickBot="1" x14ac:dyDescent="0.3">
      <c r="A83" s="90" t="s">
        <v>346</v>
      </c>
      <c r="B83" s="414">
        <f>B30/B27</f>
        <v>1.7753245357184099E-2</v>
      </c>
      <c r="C83" s="50"/>
      <c r="D83" s="50"/>
    </row>
    <row r="84" spans="1:4" ht="15.6" customHeight="1" thickBot="1" x14ac:dyDescent="0.3">
      <c r="A84" s="92" t="s">
        <v>338</v>
      </c>
      <c r="B84" s="414"/>
      <c r="C84" s="50"/>
      <c r="D84" s="50"/>
    </row>
    <row r="85" spans="1:4" ht="16.5" thickBot="1" x14ac:dyDescent="0.3">
      <c r="A85" s="92" t="s">
        <v>347</v>
      </c>
      <c r="B85" s="414"/>
      <c r="C85" s="50"/>
      <c r="D85" s="50"/>
    </row>
    <row r="86" spans="1:4" ht="16.5" thickBot="1" x14ac:dyDescent="0.3">
      <c r="A86" s="92" t="s">
        <v>348</v>
      </c>
      <c r="B86" s="414"/>
      <c r="C86" s="50"/>
      <c r="D86" s="50"/>
    </row>
    <row r="87" spans="1:4" ht="16.5" thickBot="1" x14ac:dyDescent="0.3">
      <c r="A87" s="92" t="s">
        <v>349</v>
      </c>
      <c r="B87" s="414">
        <f>B68</f>
        <v>1.7753245357184099E-2</v>
      </c>
      <c r="C87" s="50"/>
      <c r="D87" s="50"/>
    </row>
    <row r="88" spans="1:4" ht="16.5" thickBot="1" x14ac:dyDescent="0.3">
      <c r="A88" s="87" t="s">
        <v>350</v>
      </c>
      <c r="B88" s="243">
        <f>B89/$B$27</f>
        <v>1.7753245357184099E-2</v>
      </c>
      <c r="C88" s="50"/>
      <c r="D88" s="50"/>
    </row>
    <row r="89" spans="1:4" ht="16.5" thickBot="1" x14ac:dyDescent="0.3">
      <c r="A89" s="87" t="s">
        <v>351</v>
      </c>
      <c r="B89" s="337">
        <f xml:space="preserve"> SUMIF(C33:C82, 1,B33:B82)</f>
        <v>0.26449813999999999</v>
      </c>
      <c r="C89" s="50">
        <f>'6.2. Паспорт фин осв ввод'!D24-'6.2. Паспорт фин осв ввод'!F24</f>
        <v>-14.89857965</v>
      </c>
      <c r="D89" s="50"/>
    </row>
    <row r="90" spans="1:4" ht="16.5" thickBot="1" x14ac:dyDescent="0.3">
      <c r="A90" s="87" t="s">
        <v>352</v>
      </c>
      <c r="B90" s="243">
        <f>B91/$B$27</f>
        <v>1.7753245357184099E-2</v>
      </c>
      <c r="C90" s="50"/>
      <c r="D90" s="50"/>
    </row>
    <row r="91" spans="1:4" ht="16.5" thickBot="1" x14ac:dyDescent="0.3">
      <c r="A91" s="88" t="s">
        <v>353</v>
      </c>
      <c r="B91" s="337">
        <f xml:space="preserve"> SUMIF(C33:C82, 2,B33:B82)</f>
        <v>0.26449813999999999</v>
      </c>
      <c r="C91" s="50">
        <f>'6.2. Паспорт фин осв ввод'!D30-'6.2. Паспорт фин осв ввод'!F30</f>
        <v>-12.150984900000001</v>
      </c>
      <c r="D91" s="50"/>
    </row>
    <row r="92" spans="1:4" ht="30" x14ac:dyDescent="0.25">
      <c r="A92" s="90" t="s">
        <v>354</v>
      </c>
      <c r="B92" s="92" t="s">
        <v>355</v>
      </c>
      <c r="C92" s="50"/>
      <c r="D92" s="50"/>
    </row>
    <row r="93" spans="1:4" x14ac:dyDescent="0.25">
      <c r="A93" s="94" t="s">
        <v>356</v>
      </c>
      <c r="B93" s="94" t="s">
        <v>524</v>
      </c>
      <c r="C93" s="50"/>
      <c r="D93" s="50"/>
    </row>
    <row r="94" spans="1:4" x14ac:dyDescent="0.25">
      <c r="A94" s="94" t="s">
        <v>357</v>
      </c>
      <c r="B94" s="94" t="s">
        <v>590</v>
      </c>
      <c r="C94" s="50"/>
      <c r="D94" s="50"/>
    </row>
    <row r="95" spans="1:4" x14ac:dyDescent="0.25">
      <c r="A95" s="94" t="s">
        <v>358</v>
      </c>
      <c r="B95" s="94"/>
      <c r="C95" s="50"/>
      <c r="D95" s="50"/>
    </row>
    <row r="96" spans="1:4" x14ac:dyDescent="0.25">
      <c r="A96" s="94" t="s">
        <v>359</v>
      </c>
      <c r="B96" s="94"/>
      <c r="C96" s="50"/>
      <c r="D96" s="50"/>
    </row>
    <row r="97" spans="1:4" ht="16.5" thickBot="1" x14ac:dyDescent="0.3">
      <c r="A97" s="95" t="s">
        <v>360</v>
      </c>
      <c r="B97" s="95"/>
      <c r="C97" s="50"/>
      <c r="D97" s="50"/>
    </row>
    <row r="98" spans="1:4" ht="30.75" thickBot="1" x14ac:dyDescent="0.3">
      <c r="A98" s="92" t="s">
        <v>361</v>
      </c>
      <c r="B98" s="93" t="s">
        <v>513</v>
      </c>
      <c r="C98" s="50"/>
      <c r="D98" s="50"/>
    </row>
    <row r="99" spans="1:4" ht="29.25" thickBot="1" x14ac:dyDescent="0.3">
      <c r="A99" s="87" t="s">
        <v>362</v>
      </c>
      <c r="B99" s="338">
        <v>7</v>
      </c>
      <c r="C99" s="50"/>
      <c r="D99" s="50"/>
    </row>
    <row r="100" spans="1:4" ht="16.5" thickBot="1" x14ac:dyDescent="0.3">
      <c r="A100" s="92" t="s">
        <v>338</v>
      </c>
      <c r="B100" s="339"/>
      <c r="C100" s="50"/>
      <c r="D100" s="50"/>
    </row>
    <row r="101" spans="1:4" ht="28.5" customHeight="1" thickBot="1" x14ac:dyDescent="0.3">
      <c r="A101" s="92" t="s">
        <v>363</v>
      </c>
      <c r="B101" s="338">
        <v>4</v>
      </c>
      <c r="C101" s="50"/>
      <c r="D101" s="50"/>
    </row>
    <row r="102" spans="1:4" ht="16.5" thickBot="1" x14ac:dyDescent="0.3">
      <c r="A102" s="92" t="s">
        <v>364</v>
      </c>
      <c r="B102" s="338">
        <v>3</v>
      </c>
      <c r="C102" s="50"/>
      <c r="D102" s="50"/>
    </row>
    <row r="103" spans="1:4" ht="16.5" thickBot="1" x14ac:dyDescent="0.3">
      <c r="A103" s="100" t="s">
        <v>365</v>
      </c>
      <c r="B103" s="101" t="s">
        <v>537</v>
      </c>
      <c r="C103" s="50"/>
      <c r="D103" s="50"/>
    </row>
    <row r="104" spans="1:4" ht="16.5" thickBot="1" x14ac:dyDescent="0.3">
      <c r="A104" s="87" t="s">
        <v>366</v>
      </c>
      <c r="B104" s="98"/>
      <c r="C104" s="50"/>
      <c r="D104" s="50"/>
    </row>
    <row r="105" spans="1:4" ht="16.5" thickBot="1" x14ac:dyDescent="0.3">
      <c r="A105" s="94" t="s">
        <v>367</v>
      </c>
      <c r="B105" s="340" t="str">
        <f>'6.1. Паспорт сетевой график'!H43</f>
        <v>не требуется</v>
      </c>
      <c r="C105" s="50"/>
      <c r="D105" s="50"/>
    </row>
    <row r="106" spans="1:4" ht="16.5" thickBot="1" x14ac:dyDescent="0.3">
      <c r="A106" s="94" t="s">
        <v>368</v>
      </c>
      <c r="B106" s="101" t="s">
        <v>513</v>
      </c>
      <c r="C106" s="50"/>
      <c r="D106" s="50"/>
    </row>
    <row r="107" spans="1:4" ht="16.5" thickBot="1" x14ac:dyDescent="0.3">
      <c r="A107" s="94" t="s">
        <v>369</v>
      </c>
      <c r="B107" s="101" t="s">
        <v>513</v>
      </c>
      <c r="C107" s="50"/>
      <c r="D107" s="50"/>
    </row>
    <row r="108" spans="1:4" ht="29.25" thickBot="1" x14ac:dyDescent="0.3">
      <c r="A108" s="102" t="s">
        <v>370</v>
      </c>
      <c r="B108" s="99" t="s">
        <v>536</v>
      </c>
      <c r="C108" s="50"/>
      <c r="D108" s="50"/>
    </row>
    <row r="109" spans="1:4" ht="28.5" x14ac:dyDescent="0.25">
      <c r="A109" s="90" t="s">
        <v>371</v>
      </c>
      <c r="B109" s="549" t="s">
        <v>512</v>
      </c>
      <c r="C109" s="50"/>
      <c r="D109" s="50"/>
    </row>
    <row r="110" spans="1:4" x14ac:dyDescent="0.25">
      <c r="A110" s="94" t="s">
        <v>372</v>
      </c>
      <c r="B110" s="550"/>
      <c r="C110" s="50"/>
      <c r="D110" s="50"/>
    </row>
    <row r="111" spans="1:4" x14ac:dyDescent="0.25">
      <c r="A111" s="94" t="s">
        <v>373</v>
      </c>
      <c r="B111" s="550"/>
      <c r="C111" s="50"/>
      <c r="D111" s="50"/>
    </row>
    <row r="112" spans="1:4" x14ac:dyDescent="0.25">
      <c r="A112" s="94" t="s">
        <v>374</v>
      </c>
      <c r="B112" s="550"/>
      <c r="C112" s="50"/>
      <c r="D112" s="50"/>
    </row>
    <row r="113" spans="1:4" x14ac:dyDescent="0.25">
      <c r="A113" s="94" t="s">
        <v>375</v>
      </c>
      <c r="B113" s="550"/>
      <c r="C113" s="50"/>
      <c r="D113" s="50"/>
    </row>
    <row r="114" spans="1:4" ht="16.5" thickBot="1" x14ac:dyDescent="0.3">
      <c r="A114" s="103" t="s">
        <v>376</v>
      </c>
      <c r="B114" s="551"/>
      <c r="C114" s="50"/>
      <c r="D114" s="50"/>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6" zoomScale="80" zoomScaleSheetLayoutView="80" workbookViewId="0">
      <selection activeCell="F19" sqref="F19:F20"/>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2"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29" t="s">
        <v>6</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30" t="str">
        <f>'1. паспорт местоположение'!A9:C9</f>
        <v>Акционерное общество "Россети Янтарь" ДЗО  ПАО "Россети"</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8.75" x14ac:dyDescent="0.2">
      <c r="A9" s="434" t="s">
        <v>5</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30" t="str">
        <f>'1. паспорт местоположение'!A12:C12</f>
        <v>N_18-0871</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8.75" x14ac:dyDescent="0.2">
      <c r="A12" s="434" t="s">
        <v>4</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9"/>
      <c r="U13" s="9"/>
      <c r="V13" s="9"/>
      <c r="W13" s="9"/>
      <c r="X13" s="9"/>
      <c r="Y13" s="9"/>
      <c r="Z13" s="9"/>
      <c r="AA13" s="9"/>
      <c r="AB13" s="9"/>
    </row>
    <row r="14" spans="1:28" s="3" customFormat="1" ht="12" x14ac:dyDescent="0.2">
      <c r="A14" s="430" t="str">
        <f>'1. паспорт местоположение'!A9:C9</f>
        <v>Акционерное общество "Россети Янтарь" ДЗО  ПАО "Россети"</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83.25" customHeight="1" x14ac:dyDescent="0.2">
      <c r="A15" s="436" t="str">
        <f>'1. паспорт местоположение'!A15:C15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435</v>
      </c>
      <c r="B17" s="438"/>
      <c r="C17" s="438"/>
      <c r="D17" s="438"/>
      <c r="E17" s="438"/>
      <c r="F17" s="438"/>
      <c r="G17" s="438"/>
      <c r="H17" s="438"/>
      <c r="I17" s="438"/>
      <c r="J17" s="438"/>
      <c r="K17" s="438"/>
      <c r="L17" s="438"/>
      <c r="M17" s="438"/>
      <c r="N17" s="438"/>
      <c r="O17" s="438"/>
      <c r="P17" s="438"/>
      <c r="Q17" s="438"/>
      <c r="R17" s="438"/>
      <c r="S17" s="438"/>
      <c r="T17" s="6"/>
      <c r="U17" s="6"/>
      <c r="V17" s="6"/>
      <c r="W17" s="6"/>
      <c r="X17" s="6"/>
      <c r="Y17" s="6"/>
      <c r="Z17" s="6"/>
      <c r="AA17" s="6"/>
      <c r="AB17" s="6"/>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28" t="s">
        <v>2</v>
      </c>
      <c r="B19" s="428" t="s">
        <v>93</v>
      </c>
      <c r="C19" s="431" t="s">
        <v>329</v>
      </c>
      <c r="D19" s="428" t="s">
        <v>328</v>
      </c>
      <c r="E19" s="428" t="s">
        <v>92</v>
      </c>
      <c r="F19" s="428" t="s">
        <v>91</v>
      </c>
      <c r="G19" s="428" t="s">
        <v>324</v>
      </c>
      <c r="H19" s="428" t="s">
        <v>90</v>
      </c>
      <c r="I19" s="428" t="s">
        <v>89</v>
      </c>
      <c r="J19" s="428" t="s">
        <v>88</v>
      </c>
      <c r="K19" s="428" t="s">
        <v>87</v>
      </c>
      <c r="L19" s="428" t="s">
        <v>86</v>
      </c>
      <c r="M19" s="428" t="s">
        <v>85</v>
      </c>
      <c r="N19" s="428" t="s">
        <v>84</v>
      </c>
      <c r="O19" s="428" t="s">
        <v>83</v>
      </c>
      <c r="P19" s="428" t="s">
        <v>82</v>
      </c>
      <c r="Q19" s="428" t="s">
        <v>327</v>
      </c>
      <c r="R19" s="428"/>
      <c r="S19" s="433" t="s">
        <v>429</v>
      </c>
      <c r="T19" s="4"/>
      <c r="U19" s="4"/>
      <c r="V19" s="4"/>
      <c r="W19" s="4"/>
      <c r="X19" s="4"/>
      <c r="Y19" s="4"/>
    </row>
    <row r="20" spans="1:28" s="3" customFormat="1" ht="180.75" customHeight="1" x14ac:dyDescent="0.2">
      <c r="A20" s="428"/>
      <c r="B20" s="428"/>
      <c r="C20" s="432"/>
      <c r="D20" s="428"/>
      <c r="E20" s="428"/>
      <c r="F20" s="428"/>
      <c r="G20" s="428"/>
      <c r="H20" s="428"/>
      <c r="I20" s="428"/>
      <c r="J20" s="428"/>
      <c r="K20" s="428"/>
      <c r="L20" s="428"/>
      <c r="M20" s="428"/>
      <c r="N20" s="428"/>
      <c r="O20" s="428"/>
      <c r="P20" s="428"/>
      <c r="Q20" s="34" t="s">
        <v>325</v>
      </c>
      <c r="R20" s="35" t="s">
        <v>326</v>
      </c>
      <c r="S20" s="433"/>
      <c r="T20" s="27"/>
      <c r="U20" s="27"/>
      <c r="V20" s="27"/>
      <c r="W20" s="27"/>
      <c r="X20" s="27"/>
      <c r="Y20" s="27"/>
      <c r="Z20" s="26"/>
      <c r="AA20" s="26"/>
      <c r="AB20" s="26"/>
    </row>
    <row r="21" spans="1:28" s="3" customFormat="1" ht="18.75" x14ac:dyDescent="0.2">
      <c r="A21" s="34">
        <v>1</v>
      </c>
      <c r="B21" s="37">
        <v>2</v>
      </c>
      <c r="C21" s="34">
        <v>3</v>
      </c>
      <c r="D21" s="37">
        <v>4</v>
      </c>
      <c r="E21" s="34">
        <v>5</v>
      </c>
      <c r="F21" s="37">
        <v>6</v>
      </c>
      <c r="G21" s="107">
        <v>7</v>
      </c>
      <c r="H21" s="108">
        <v>8</v>
      </c>
      <c r="I21" s="107">
        <v>9</v>
      </c>
      <c r="J21" s="108">
        <v>10</v>
      </c>
      <c r="K21" s="107">
        <v>11</v>
      </c>
      <c r="L21" s="108">
        <v>12</v>
      </c>
      <c r="M21" s="107">
        <v>13</v>
      </c>
      <c r="N21" s="108">
        <v>14</v>
      </c>
      <c r="O21" s="107">
        <v>15</v>
      </c>
      <c r="P21" s="108">
        <v>16</v>
      </c>
      <c r="Q21" s="107">
        <v>17</v>
      </c>
      <c r="R21" s="108">
        <v>18</v>
      </c>
      <c r="S21" s="107">
        <v>19</v>
      </c>
      <c r="T21" s="27"/>
      <c r="U21" s="27"/>
      <c r="V21" s="27"/>
      <c r="W21" s="27"/>
      <c r="X21" s="27"/>
      <c r="Y21" s="27"/>
      <c r="Z21" s="26"/>
      <c r="AA21" s="26"/>
      <c r="AB21" s="26"/>
    </row>
    <row r="22" spans="1:28" s="3" customFormat="1" ht="18.75" x14ac:dyDescent="0.2">
      <c r="A22" s="239">
        <v>1</v>
      </c>
      <c r="B22" s="249"/>
      <c r="C22" s="239"/>
      <c r="D22" s="248"/>
      <c r="E22" s="249"/>
      <c r="F22" s="248"/>
      <c r="G22" s="249"/>
      <c r="H22" s="248"/>
      <c r="I22" s="249"/>
      <c r="J22" s="248"/>
      <c r="K22" s="249"/>
      <c r="L22" s="248"/>
      <c r="M22" s="249"/>
      <c r="N22" s="248"/>
      <c r="O22" s="249"/>
      <c r="P22" s="248"/>
      <c r="Q22" s="268"/>
      <c r="R22" s="250"/>
      <c r="S22" s="267"/>
      <c r="W22" s="27"/>
      <c r="X22" s="27"/>
      <c r="Y22" s="27"/>
      <c r="Z22" s="26"/>
      <c r="AA22" s="26"/>
      <c r="AB22" s="26"/>
    </row>
    <row r="23" spans="1:28" ht="20.25" customHeight="1" x14ac:dyDescent="0.25">
      <c r="A23" s="78"/>
      <c r="B23" s="37" t="s">
        <v>322</v>
      </c>
      <c r="C23" s="37"/>
      <c r="D23" s="37"/>
      <c r="E23" s="78" t="s">
        <v>323</v>
      </c>
      <c r="F23" s="78" t="s">
        <v>323</v>
      </c>
      <c r="G23" s="78" t="s">
        <v>323</v>
      </c>
      <c r="H23" s="238">
        <f>H22</f>
        <v>0</v>
      </c>
      <c r="I23" s="78"/>
      <c r="J23" s="238">
        <f>J22</f>
        <v>0</v>
      </c>
      <c r="K23" s="78"/>
      <c r="L23" s="78"/>
      <c r="M23" s="78"/>
      <c r="N23" s="78"/>
      <c r="O23" s="78"/>
      <c r="P23" s="78"/>
      <c r="Q23" s="79"/>
      <c r="R23" s="2"/>
      <c r="S23" s="23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9" zoomScale="70" zoomScaleNormal="60" zoomScaleSheetLayoutView="70" workbookViewId="0">
      <selection activeCell="N25" sqref="N25:O25"/>
    </sheetView>
  </sheetViews>
  <sheetFormatPr defaultColWidth="10.7109375" defaultRowHeight="15.75" x14ac:dyDescent="0.25"/>
  <cols>
    <col min="1" max="1" width="9.5703125" style="38" customWidth="1"/>
    <col min="2" max="2" width="15.140625" style="38" customWidth="1"/>
    <col min="3" max="3" width="15.285156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0.8554687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2"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2025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29" t="s">
        <v>6</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30" t="str">
        <f>'1. паспорт местоположение'!A9:C9</f>
        <v>Акционерное общество "Россети Янтарь"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
      <c r="A11" s="434" t="s">
        <v>5</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30" t="str">
        <f>'1. паспорт местоположение'!A12:C12</f>
        <v>N_18-0871</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
      <c r="A14" s="434" t="s">
        <v>4</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12" x14ac:dyDescent="0.2">
      <c r="A16"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6" s="430"/>
      <c r="C16" s="430"/>
      <c r="D16" s="430"/>
      <c r="E16" s="430"/>
      <c r="F16" s="430"/>
      <c r="G16" s="430"/>
      <c r="H16" s="430"/>
      <c r="I16" s="430"/>
      <c r="J16" s="430"/>
      <c r="K16" s="430"/>
      <c r="L16" s="430"/>
      <c r="M16" s="430"/>
      <c r="N16" s="430"/>
      <c r="O16" s="430"/>
      <c r="P16" s="430"/>
      <c r="Q16" s="430"/>
      <c r="R16" s="430"/>
      <c r="S16" s="430"/>
      <c r="T16" s="430"/>
    </row>
    <row r="17" spans="1:113" s="3" customFormat="1" ht="15" customHeight="1" x14ac:dyDescent="0.2">
      <c r="A17" s="434" t="s">
        <v>3</v>
      </c>
      <c r="B17" s="434"/>
      <c r="C17" s="434"/>
      <c r="D17" s="434"/>
      <c r="E17" s="434"/>
      <c r="F17" s="434"/>
      <c r="G17" s="434"/>
      <c r="H17" s="434"/>
      <c r="I17" s="434"/>
      <c r="J17" s="434"/>
      <c r="K17" s="434"/>
      <c r="L17" s="434"/>
      <c r="M17" s="434"/>
      <c r="N17" s="434"/>
      <c r="O17" s="434"/>
      <c r="P17" s="434"/>
      <c r="Q17" s="434"/>
      <c r="R17" s="434"/>
      <c r="S17" s="434"/>
      <c r="T17" s="434"/>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54" t="s">
        <v>440</v>
      </c>
      <c r="B19" s="454"/>
      <c r="C19" s="454"/>
      <c r="D19" s="454"/>
      <c r="E19" s="454"/>
      <c r="F19" s="454"/>
      <c r="G19" s="454"/>
      <c r="H19" s="454"/>
      <c r="I19" s="454"/>
      <c r="J19" s="454"/>
      <c r="K19" s="454"/>
      <c r="L19" s="454"/>
      <c r="M19" s="454"/>
      <c r="N19" s="454"/>
      <c r="O19" s="454"/>
      <c r="P19" s="454"/>
      <c r="Q19" s="454"/>
      <c r="R19" s="454"/>
      <c r="S19" s="454"/>
      <c r="T19" s="454"/>
    </row>
    <row r="20" spans="1:113" s="46"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48" t="s">
        <v>2</v>
      </c>
      <c r="B21" s="441" t="s">
        <v>218</v>
      </c>
      <c r="C21" s="442"/>
      <c r="D21" s="445" t="s">
        <v>115</v>
      </c>
      <c r="E21" s="441" t="s">
        <v>469</v>
      </c>
      <c r="F21" s="442"/>
      <c r="G21" s="441" t="s">
        <v>239</v>
      </c>
      <c r="H21" s="442"/>
      <c r="I21" s="441" t="s">
        <v>114</v>
      </c>
      <c r="J21" s="442"/>
      <c r="K21" s="445" t="s">
        <v>113</v>
      </c>
      <c r="L21" s="441" t="s">
        <v>112</v>
      </c>
      <c r="M21" s="442"/>
      <c r="N21" s="441" t="s">
        <v>465</v>
      </c>
      <c r="O21" s="442"/>
      <c r="P21" s="445" t="s">
        <v>111</v>
      </c>
      <c r="Q21" s="451" t="s">
        <v>110</v>
      </c>
      <c r="R21" s="452"/>
      <c r="S21" s="451" t="s">
        <v>109</v>
      </c>
      <c r="T21" s="453"/>
    </row>
    <row r="22" spans="1:113" ht="204.75" customHeight="1" x14ac:dyDescent="0.25">
      <c r="A22" s="449"/>
      <c r="B22" s="443"/>
      <c r="C22" s="444"/>
      <c r="D22" s="447"/>
      <c r="E22" s="443"/>
      <c r="F22" s="444"/>
      <c r="G22" s="443"/>
      <c r="H22" s="444"/>
      <c r="I22" s="443"/>
      <c r="J22" s="444"/>
      <c r="K22" s="446"/>
      <c r="L22" s="443"/>
      <c r="M22" s="444"/>
      <c r="N22" s="443"/>
      <c r="O22" s="444"/>
      <c r="P22" s="446"/>
      <c r="Q22" s="69" t="s">
        <v>108</v>
      </c>
      <c r="R22" s="69" t="s">
        <v>439</v>
      </c>
      <c r="S22" s="69" t="s">
        <v>107</v>
      </c>
      <c r="T22" s="69" t="s">
        <v>106</v>
      </c>
    </row>
    <row r="23" spans="1:113" ht="51.75" customHeight="1" x14ac:dyDescent="0.25">
      <c r="A23" s="450"/>
      <c r="B23" s="113" t="s">
        <v>104</v>
      </c>
      <c r="C23" s="113" t="s">
        <v>105</v>
      </c>
      <c r="D23" s="446"/>
      <c r="E23" s="113" t="s">
        <v>104</v>
      </c>
      <c r="F23" s="113" t="s">
        <v>105</v>
      </c>
      <c r="G23" s="113" t="s">
        <v>104</v>
      </c>
      <c r="H23" s="113" t="s">
        <v>105</v>
      </c>
      <c r="I23" s="113" t="s">
        <v>104</v>
      </c>
      <c r="J23" s="113" t="s">
        <v>105</v>
      </c>
      <c r="K23" s="113" t="s">
        <v>104</v>
      </c>
      <c r="L23" s="113" t="s">
        <v>104</v>
      </c>
      <c r="M23" s="113" t="s">
        <v>105</v>
      </c>
      <c r="N23" s="113" t="s">
        <v>104</v>
      </c>
      <c r="O23" s="113" t="s">
        <v>105</v>
      </c>
      <c r="P23" s="114" t="s">
        <v>104</v>
      </c>
      <c r="Q23" s="69" t="s">
        <v>104</v>
      </c>
      <c r="R23" s="69" t="s">
        <v>104</v>
      </c>
      <c r="S23" s="69" t="s">
        <v>104</v>
      </c>
      <c r="T23" s="69" t="s">
        <v>104</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ht="47.25" x14ac:dyDescent="0.25">
      <c r="A25" s="276">
        <v>1</v>
      </c>
      <c r="B25" s="277" t="s">
        <v>555</v>
      </c>
      <c r="C25" s="273" t="s">
        <v>556</v>
      </c>
      <c r="D25" s="273" t="s">
        <v>100</v>
      </c>
      <c r="E25" s="276" t="s">
        <v>517</v>
      </c>
      <c r="F25" s="276" t="s">
        <v>517</v>
      </c>
      <c r="G25" s="276" t="s">
        <v>518</v>
      </c>
      <c r="H25" s="276" t="s">
        <v>518</v>
      </c>
      <c r="I25" s="276">
        <v>1964</v>
      </c>
      <c r="J25" s="271" t="s">
        <v>548</v>
      </c>
      <c r="K25" s="276">
        <v>1954</v>
      </c>
      <c r="L25" s="276">
        <v>15</v>
      </c>
      <c r="M25" s="276">
        <v>15</v>
      </c>
      <c r="N25" s="276">
        <v>0.08</v>
      </c>
      <c r="O25" s="272">
        <v>0.16</v>
      </c>
      <c r="P25" s="276">
        <v>2014</v>
      </c>
      <c r="Q25" s="277" t="s">
        <v>521</v>
      </c>
      <c r="R25" s="277" t="s">
        <v>520</v>
      </c>
      <c r="S25" s="280" t="s">
        <v>529</v>
      </c>
      <c r="T25" s="279" t="s">
        <v>533</v>
      </c>
    </row>
    <row r="26" spans="1:113" x14ac:dyDescent="0.25">
      <c r="P26" s="38">
        <f>O25-N25</f>
        <v>0.08</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40" t="s">
        <v>475</v>
      </c>
      <c r="C29" s="440"/>
      <c r="D29" s="440"/>
      <c r="E29" s="440"/>
      <c r="F29" s="440"/>
      <c r="G29" s="440"/>
      <c r="H29" s="440"/>
      <c r="I29" s="440"/>
      <c r="J29" s="440"/>
      <c r="K29" s="440"/>
      <c r="L29" s="440"/>
      <c r="M29" s="440"/>
      <c r="N29" s="440"/>
      <c r="O29" s="440"/>
      <c r="P29" s="440"/>
      <c r="Q29" s="440"/>
      <c r="R29" s="440"/>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438</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G19" zoomScale="80" zoomScaleSheetLayoutView="80" workbookViewId="0">
      <selection activeCell="Q32" sqref="Q32:R32"/>
    </sheetView>
  </sheetViews>
  <sheetFormatPr defaultColWidth="10.7109375" defaultRowHeight="15.75" x14ac:dyDescent="0.25"/>
  <cols>
    <col min="1" max="1" width="10.7109375" style="38"/>
    <col min="2" max="3" width="16.42578125" style="38" customWidth="1"/>
    <col min="4" max="5" width="30.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5.28515625" style="38" customWidth="1"/>
    <col min="26" max="26" width="18.5703125" style="38" customWidth="1"/>
    <col min="27" max="27" width="33.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2"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16"/>
      <c r="B6" s="116"/>
      <c r="C6" s="116"/>
      <c r="D6" s="116"/>
      <c r="E6" s="116"/>
      <c r="F6" s="116"/>
      <c r="G6" s="116"/>
      <c r="H6" s="116"/>
      <c r="I6" s="116"/>
      <c r="J6" s="116"/>
      <c r="K6" s="116"/>
      <c r="L6" s="116"/>
      <c r="M6" s="116"/>
      <c r="N6" s="116"/>
      <c r="O6" s="116"/>
      <c r="P6" s="116"/>
      <c r="Q6" s="116"/>
      <c r="R6" s="116"/>
      <c r="S6" s="116"/>
      <c r="T6" s="116"/>
    </row>
    <row r="7" spans="1:27" s="11" customFormat="1" ht="18.75" x14ac:dyDescent="0.2">
      <c r="E7" s="429" t="s">
        <v>6</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0" t="str">
        <f>'1. паспорт местоположение'!A9</f>
        <v>Акционерное общество "Россети Янтарь" ДЗО  ПАО "Россети"</v>
      </c>
      <c r="F9" s="430"/>
      <c r="G9" s="430"/>
      <c r="H9" s="430"/>
      <c r="I9" s="430"/>
      <c r="J9" s="430"/>
      <c r="K9" s="430"/>
      <c r="L9" s="430"/>
      <c r="M9" s="430"/>
      <c r="N9" s="430"/>
      <c r="O9" s="430"/>
      <c r="P9" s="430"/>
      <c r="Q9" s="430"/>
      <c r="R9" s="430"/>
      <c r="S9" s="430"/>
      <c r="T9" s="430"/>
      <c r="U9" s="430"/>
      <c r="V9" s="430"/>
      <c r="W9" s="430"/>
      <c r="X9" s="430"/>
      <c r="Y9" s="430"/>
    </row>
    <row r="10" spans="1:27" s="11" customFormat="1" ht="18.75" customHeight="1" x14ac:dyDescent="0.2">
      <c r="E10" s="434" t="s">
        <v>5</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0" t="str">
        <f>'1. паспорт местоположение'!A12</f>
        <v>N_18-0871</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ht="18.75" customHeight="1" x14ac:dyDescent="0.2">
      <c r="E13" s="434" t="s">
        <v>4</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E16" s="434" t="s">
        <v>3</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442</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6" customFormat="1" ht="21" customHeight="1" x14ac:dyDescent="0.25"/>
    <row r="21" spans="1:27" ht="15.75" customHeight="1" x14ac:dyDescent="0.25">
      <c r="A21" s="456" t="s">
        <v>2</v>
      </c>
      <c r="B21" s="459" t="s">
        <v>449</v>
      </c>
      <c r="C21" s="460"/>
      <c r="D21" s="459" t="s">
        <v>451</v>
      </c>
      <c r="E21" s="460"/>
      <c r="F21" s="451" t="s">
        <v>87</v>
      </c>
      <c r="G21" s="453"/>
      <c r="H21" s="453"/>
      <c r="I21" s="452"/>
      <c r="J21" s="456" t="s">
        <v>452</v>
      </c>
      <c r="K21" s="459" t="s">
        <v>453</v>
      </c>
      <c r="L21" s="460"/>
      <c r="M21" s="459" t="s">
        <v>454</v>
      </c>
      <c r="N21" s="460"/>
      <c r="O21" s="459" t="s">
        <v>441</v>
      </c>
      <c r="P21" s="460"/>
      <c r="Q21" s="459" t="s">
        <v>120</v>
      </c>
      <c r="R21" s="460"/>
      <c r="S21" s="456" t="s">
        <v>119</v>
      </c>
      <c r="T21" s="456" t="s">
        <v>455</v>
      </c>
      <c r="U21" s="456" t="s">
        <v>450</v>
      </c>
      <c r="V21" s="459" t="s">
        <v>118</v>
      </c>
      <c r="W21" s="460"/>
      <c r="X21" s="451" t="s">
        <v>110</v>
      </c>
      <c r="Y21" s="453"/>
      <c r="Z21" s="451" t="s">
        <v>109</v>
      </c>
      <c r="AA21" s="453"/>
    </row>
    <row r="22" spans="1:27" ht="216" customHeight="1" x14ac:dyDescent="0.25">
      <c r="A22" s="457"/>
      <c r="B22" s="461"/>
      <c r="C22" s="462"/>
      <c r="D22" s="461"/>
      <c r="E22" s="462"/>
      <c r="F22" s="451" t="s">
        <v>117</v>
      </c>
      <c r="G22" s="452"/>
      <c r="H22" s="451" t="s">
        <v>116</v>
      </c>
      <c r="I22" s="452"/>
      <c r="J22" s="458"/>
      <c r="K22" s="461"/>
      <c r="L22" s="462"/>
      <c r="M22" s="461"/>
      <c r="N22" s="462"/>
      <c r="O22" s="461"/>
      <c r="P22" s="462"/>
      <c r="Q22" s="461"/>
      <c r="R22" s="462"/>
      <c r="S22" s="458"/>
      <c r="T22" s="458"/>
      <c r="U22" s="458"/>
      <c r="V22" s="461"/>
      <c r="W22" s="462"/>
      <c r="X22" s="69" t="s">
        <v>108</v>
      </c>
      <c r="Y22" s="69" t="s">
        <v>439</v>
      </c>
      <c r="Z22" s="69" t="s">
        <v>107</v>
      </c>
      <c r="AA22" s="69" t="s">
        <v>106</v>
      </c>
    </row>
    <row r="23" spans="1:27" ht="60" customHeight="1" x14ac:dyDescent="0.25">
      <c r="A23" s="458"/>
      <c r="B23" s="112" t="s">
        <v>104</v>
      </c>
      <c r="C23" s="112"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274" customFormat="1" ht="31.5" x14ac:dyDescent="0.25">
      <c r="A25" s="47">
        <v>1</v>
      </c>
      <c r="B25" s="276" t="s">
        <v>323</v>
      </c>
      <c r="C25" s="276" t="s">
        <v>557</v>
      </c>
      <c r="D25" s="275" t="s">
        <v>323</v>
      </c>
      <c r="E25" s="275" t="s">
        <v>538</v>
      </c>
      <c r="F25" s="47" t="s">
        <v>323</v>
      </c>
      <c r="G25" s="47">
        <v>15</v>
      </c>
      <c r="H25" s="47" t="s">
        <v>323</v>
      </c>
      <c r="I25" s="47">
        <v>15</v>
      </c>
      <c r="J25" s="47" t="s">
        <v>323</v>
      </c>
      <c r="K25" s="47" t="s">
        <v>323</v>
      </c>
      <c r="L25" s="47">
        <v>1</v>
      </c>
      <c r="M25" s="47" t="s">
        <v>323</v>
      </c>
      <c r="N25" s="47">
        <v>70</v>
      </c>
      <c r="O25" s="47" t="s">
        <v>323</v>
      </c>
      <c r="P25" s="47" t="s">
        <v>519</v>
      </c>
      <c r="Q25" s="47" t="s">
        <v>323</v>
      </c>
      <c r="R25" s="47">
        <v>0.98499999999999999</v>
      </c>
      <c r="S25" s="47" t="s">
        <v>323</v>
      </c>
      <c r="T25" s="272" t="s">
        <v>323</v>
      </c>
      <c r="U25" s="272" t="s">
        <v>323</v>
      </c>
      <c r="V25" s="47" t="s">
        <v>323</v>
      </c>
      <c r="W25" s="47" t="s">
        <v>516</v>
      </c>
      <c r="X25" s="272" t="s">
        <v>323</v>
      </c>
      <c r="Y25" s="272" t="s">
        <v>323</v>
      </c>
      <c r="Z25" s="275" t="s">
        <v>323</v>
      </c>
      <c r="AA25" s="275" t="s">
        <v>323</v>
      </c>
    </row>
    <row r="26" spans="1:27" s="274" customFormat="1" ht="63" x14ac:dyDescent="0.25">
      <c r="A26" s="325">
        <v>2</v>
      </c>
      <c r="B26" s="274" t="s">
        <v>323</v>
      </c>
      <c r="C26" s="326" t="s">
        <v>539</v>
      </c>
      <c r="D26" s="326" t="s">
        <v>323</v>
      </c>
      <c r="E26" s="326" t="s">
        <v>549</v>
      </c>
      <c r="F26" s="325" t="s">
        <v>323</v>
      </c>
      <c r="G26" s="325">
        <v>0.4</v>
      </c>
      <c r="H26" s="325" t="s">
        <v>323</v>
      </c>
      <c r="I26" s="325">
        <v>0.4</v>
      </c>
      <c r="J26" s="325" t="s">
        <v>323</v>
      </c>
      <c r="K26" s="325" t="s">
        <v>323</v>
      </c>
      <c r="L26" s="325">
        <v>1</v>
      </c>
      <c r="M26" s="325" t="s">
        <v>323</v>
      </c>
      <c r="N26" s="325">
        <v>95</v>
      </c>
      <c r="O26" s="325" t="s">
        <v>323</v>
      </c>
      <c r="P26" s="325" t="s">
        <v>519</v>
      </c>
      <c r="Q26" s="325" t="s">
        <v>323</v>
      </c>
      <c r="R26" s="325">
        <v>0.27500000000000002</v>
      </c>
      <c r="S26" s="325" t="s">
        <v>323</v>
      </c>
      <c r="T26" s="327" t="s">
        <v>323</v>
      </c>
      <c r="U26" s="327" t="s">
        <v>323</v>
      </c>
      <c r="V26" s="325" t="s">
        <v>323</v>
      </c>
      <c r="W26" s="325" t="s">
        <v>516</v>
      </c>
      <c r="X26" s="327" t="s">
        <v>323</v>
      </c>
      <c r="Y26" s="327" t="s">
        <v>323</v>
      </c>
      <c r="Z26" s="326" t="s">
        <v>323</v>
      </c>
      <c r="AA26" s="326" t="s">
        <v>323</v>
      </c>
    </row>
    <row r="27" spans="1:27" s="274" customFormat="1" ht="63" x14ac:dyDescent="0.25">
      <c r="A27" s="276">
        <v>3</v>
      </c>
      <c r="B27" s="275" t="s">
        <v>540</v>
      </c>
      <c r="C27" s="276" t="s">
        <v>323</v>
      </c>
      <c r="D27" s="342" t="s">
        <v>558</v>
      </c>
      <c r="E27" s="277" t="s">
        <v>323</v>
      </c>
      <c r="F27" s="276">
        <v>0.4</v>
      </c>
      <c r="G27" s="276" t="s">
        <v>323</v>
      </c>
      <c r="H27" s="276">
        <v>0.4</v>
      </c>
      <c r="I27" s="276" t="s">
        <v>323</v>
      </c>
      <c r="J27" s="276">
        <v>1954</v>
      </c>
      <c r="K27" s="276">
        <v>1</v>
      </c>
      <c r="L27" s="276" t="s">
        <v>323</v>
      </c>
      <c r="M27" s="276">
        <v>50</v>
      </c>
      <c r="N27" s="276" t="s">
        <v>323</v>
      </c>
      <c r="O27" s="276" t="s">
        <v>515</v>
      </c>
      <c r="P27" s="276" t="s">
        <v>323</v>
      </c>
      <c r="Q27" s="276">
        <v>0.68500000000000005</v>
      </c>
      <c r="R27" s="276" t="s">
        <v>323</v>
      </c>
      <c r="S27" s="276" t="s">
        <v>323</v>
      </c>
      <c r="T27" s="278">
        <v>2008</v>
      </c>
      <c r="U27" s="278">
        <v>9</v>
      </c>
      <c r="V27" s="276" t="s">
        <v>544</v>
      </c>
      <c r="W27" s="276" t="s">
        <v>323</v>
      </c>
      <c r="X27" s="279" t="s">
        <v>522</v>
      </c>
      <c r="Y27" s="279" t="s">
        <v>520</v>
      </c>
      <c r="Z27" s="279" t="s">
        <v>541</v>
      </c>
      <c r="AA27" s="279" t="s">
        <v>530</v>
      </c>
    </row>
    <row r="28" spans="1:27" s="274" customFormat="1" ht="30.75" customHeight="1" x14ac:dyDescent="0.25">
      <c r="A28" s="463">
        <v>4</v>
      </c>
      <c r="B28" s="465" t="s">
        <v>542</v>
      </c>
      <c r="C28" s="465" t="s">
        <v>542</v>
      </c>
      <c r="D28" s="465" t="s">
        <v>543</v>
      </c>
      <c r="E28" s="465" t="s">
        <v>543</v>
      </c>
      <c r="F28" s="465">
        <v>0.4</v>
      </c>
      <c r="G28" s="465">
        <v>0.4</v>
      </c>
      <c r="H28" s="465">
        <v>0.4</v>
      </c>
      <c r="I28" s="465">
        <v>0.4</v>
      </c>
      <c r="J28" s="465">
        <v>1954</v>
      </c>
      <c r="K28" s="465">
        <v>1</v>
      </c>
      <c r="L28" s="465">
        <v>1</v>
      </c>
      <c r="M28" s="326" t="s">
        <v>559</v>
      </c>
      <c r="N28" s="326">
        <v>95</v>
      </c>
      <c r="O28" s="465" t="s">
        <v>515</v>
      </c>
      <c r="P28" s="465" t="s">
        <v>519</v>
      </c>
      <c r="Q28" s="325">
        <v>0.81</v>
      </c>
      <c r="R28" s="325">
        <v>0.81</v>
      </c>
      <c r="S28" s="465" t="s">
        <v>323</v>
      </c>
      <c r="T28" s="465">
        <v>2008</v>
      </c>
      <c r="U28" s="465">
        <v>9</v>
      </c>
      <c r="V28" s="465" t="s">
        <v>544</v>
      </c>
      <c r="W28" s="465" t="s">
        <v>516</v>
      </c>
      <c r="X28" s="465" t="s">
        <v>522</v>
      </c>
      <c r="Y28" s="465" t="s">
        <v>520</v>
      </c>
      <c r="Z28" s="465" t="s">
        <v>546</v>
      </c>
      <c r="AA28" s="465" t="s">
        <v>545</v>
      </c>
    </row>
    <row r="29" spans="1:27" s="274" customFormat="1" ht="30.75" customHeight="1" x14ac:dyDescent="0.25">
      <c r="A29" s="464"/>
      <c r="B29" s="466"/>
      <c r="C29" s="466"/>
      <c r="D29" s="466"/>
      <c r="E29" s="466"/>
      <c r="F29" s="466"/>
      <c r="G29" s="466"/>
      <c r="H29" s="466"/>
      <c r="I29" s="466"/>
      <c r="J29" s="466"/>
      <c r="K29" s="466"/>
      <c r="L29" s="466"/>
      <c r="M29" s="352">
        <v>35</v>
      </c>
      <c r="N29" s="352">
        <v>50</v>
      </c>
      <c r="O29" s="466"/>
      <c r="P29" s="466"/>
      <c r="Q29" s="351">
        <v>0.09</v>
      </c>
      <c r="R29" s="351">
        <v>0.09</v>
      </c>
      <c r="S29" s="466"/>
      <c r="T29" s="466"/>
      <c r="U29" s="466"/>
      <c r="V29" s="466"/>
      <c r="W29" s="466"/>
      <c r="X29" s="466"/>
      <c r="Y29" s="466"/>
      <c r="Z29" s="466"/>
      <c r="AA29" s="466"/>
    </row>
    <row r="30" spans="1:27" s="274" customFormat="1" ht="44.25" customHeight="1" x14ac:dyDescent="0.25">
      <c r="A30" s="463">
        <v>5</v>
      </c>
      <c r="B30" s="465" t="s">
        <v>528</v>
      </c>
      <c r="C30" s="465" t="s">
        <v>528</v>
      </c>
      <c r="D30" s="465" t="s">
        <v>550</v>
      </c>
      <c r="E30" s="465" t="s">
        <v>550</v>
      </c>
      <c r="F30" s="465">
        <v>0.4</v>
      </c>
      <c r="G30" s="465">
        <v>0.4</v>
      </c>
      <c r="H30" s="465">
        <v>0.4</v>
      </c>
      <c r="I30" s="465">
        <v>0.4</v>
      </c>
      <c r="J30" s="465">
        <v>1954</v>
      </c>
      <c r="K30" s="465">
        <v>1</v>
      </c>
      <c r="L30" s="465">
        <v>1</v>
      </c>
      <c r="M30" s="326">
        <v>50</v>
      </c>
      <c r="N30" s="326">
        <v>95</v>
      </c>
      <c r="O30" s="465" t="s">
        <v>515</v>
      </c>
      <c r="P30" s="465" t="s">
        <v>519</v>
      </c>
      <c r="Q30" s="325">
        <v>0.6</v>
      </c>
      <c r="R30" s="325">
        <v>0.6</v>
      </c>
      <c r="S30" s="465" t="s">
        <v>323</v>
      </c>
      <c r="T30" s="465">
        <v>2008</v>
      </c>
      <c r="U30" s="465">
        <v>9</v>
      </c>
      <c r="V30" s="465" t="s">
        <v>544</v>
      </c>
      <c r="W30" s="465" t="s">
        <v>516</v>
      </c>
      <c r="X30" s="465" t="s">
        <v>522</v>
      </c>
      <c r="Y30" s="465" t="s">
        <v>520</v>
      </c>
      <c r="Z30" s="465" t="s">
        <v>546</v>
      </c>
      <c r="AA30" s="465" t="s">
        <v>545</v>
      </c>
    </row>
    <row r="31" spans="1:27" s="274" customFormat="1" ht="44.25" customHeight="1" x14ac:dyDescent="0.25">
      <c r="A31" s="464"/>
      <c r="B31" s="466"/>
      <c r="C31" s="466"/>
      <c r="D31" s="466"/>
      <c r="E31" s="466"/>
      <c r="F31" s="466"/>
      <c r="G31" s="466"/>
      <c r="H31" s="466"/>
      <c r="I31" s="466"/>
      <c r="J31" s="466"/>
      <c r="K31" s="466"/>
      <c r="L31" s="466"/>
      <c r="M31" s="352">
        <v>25</v>
      </c>
      <c r="N31" s="352">
        <v>50</v>
      </c>
      <c r="O31" s="466"/>
      <c r="P31" s="466"/>
      <c r="Q31" s="351">
        <v>0.25</v>
      </c>
      <c r="R31" s="351">
        <v>0.25</v>
      </c>
      <c r="S31" s="466"/>
      <c r="T31" s="466"/>
      <c r="U31" s="466"/>
      <c r="V31" s="466"/>
      <c r="W31" s="466"/>
      <c r="X31" s="466"/>
      <c r="Y31" s="466"/>
      <c r="Z31" s="466"/>
      <c r="AA31" s="466"/>
    </row>
    <row r="32" spans="1:27" s="44" customFormat="1" ht="12.75" x14ac:dyDescent="0.2">
      <c r="A32" s="45"/>
      <c r="B32" s="45"/>
      <c r="C32" s="45"/>
      <c r="Q32" s="44">
        <f>SUM(Q25:Q31)</f>
        <v>2.4350000000000001</v>
      </c>
      <c r="R32" s="44">
        <f>SUM(R25:R31)</f>
        <v>3.0100000000000002</v>
      </c>
      <c r="S32" s="44">
        <f>R32-Q32</f>
        <v>0.57500000000000018</v>
      </c>
    </row>
  </sheetData>
  <mergeCells count="73">
    <mergeCell ref="W30:W31"/>
    <mergeCell ref="X30:X31"/>
    <mergeCell ref="Y30:Y31"/>
    <mergeCell ref="Z30:Z31"/>
    <mergeCell ref="AA30:AA31"/>
    <mergeCell ref="P30:P31"/>
    <mergeCell ref="S30:S31"/>
    <mergeCell ref="T30:T31"/>
    <mergeCell ref="U30:U31"/>
    <mergeCell ref="V30:V31"/>
    <mergeCell ref="Y28:Y29"/>
    <mergeCell ref="Z28:Z29"/>
    <mergeCell ref="AA28:AA29"/>
    <mergeCell ref="A30:A31"/>
    <mergeCell ref="B30:B31"/>
    <mergeCell ref="C30:C31"/>
    <mergeCell ref="D30:D31"/>
    <mergeCell ref="E30:E31"/>
    <mergeCell ref="F30:F31"/>
    <mergeCell ref="G30:G31"/>
    <mergeCell ref="H30:H31"/>
    <mergeCell ref="I30:I31"/>
    <mergeCell ref="J30:J31"/>
    <mergeCell ref="K30:K31"/>
    <mergeCell ref="L30:L31"/>
    <mergeCell ref="O30:O31"/>
    <mergeCell ref="T28:T29"/>
    <mergeCell ref="U28:U29"/>
    <mergeCell ref="V28:V29"/>
    <mergeCell ref="W28:W29"/>
    <mergeCell ref="X28:X29"/>
    <mergeCell ref="K28:K29"/>
    <mergeCell ref="L28:L29"/>
    <mergeCell ref="O28:O29"/>
    <mergeCell ref="P28:P29"/>
    <mergeCell ref="S28:S29"/>
    <mergeCell ref="F28:F29"/>
    <mergeCell ref="G28:G29"/>
    <mergeCell ref="H28:H29"/>
    <mergeCell ref="I28:I29"/>
    <mergeCell ref="J28:J29"/>
    <mergeCell ref="A28:A29"/>
    <mergeCell ref="B28:B29"/>
    <mergeCell ref="C28:C29"/>
    <mergeCell ref="D28:D29"/>
    <mergeCell ref="E28:E29"/>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2"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0" t="str">
        <f>'1. паспорт местоположение'!A5:C5</f>
        <v>Год раскрытия информации: 2025 год</v>
      </c>
      <c r="B5" s="420"/>
      <c r="C5" s="42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1" customFormat="1" ht="18.75" x14ac:dyDescent="0.3">
      <c r="A6" s="16"/>
      <c r="E6" s="15"/>
      <c r="F6" s="15"/>
      <c r="G6" s="14"/>
    </row>
    <row r="7" spans="1:29" s="11" customFormat="1" ht="18.75" x14ac:dyDescent="0.2">
      <c r="A7" s="429" t="s">
        <v>6</v>
      </c>
      <c r="B7" s="429"/>
      <c r="C7" s="429"/>
      <c r="D7" s="12"/>
      <c r="E7" s="12"/>
      <c r="F7" s="12"/>
      <c r="G7" s="12"/>
      <c r="H7" s="12"/>
      <c r="I7" s="12"/>
      <c r="J7" s="12"/>
      <c r="K7" s="12"/>
      <c r="L7" s="12"/>
      <c r="M7" s="12"/>
      <c r="N7" s="12"/>
      <c r="O7" s="12"/>
      <c r="P7" s="12"/>
      <c r="Q7" s="12"/>
      <c r="R7" s="12"/>
      <c r="S7" s="12"/>
      <c r="T7" s="12"/>
      <c r="U7" s="12"/>
    </row>
    <row r="8" spans="1:29" s="11" customFormat="1" ht="18.75" x14ac:dyDescent="0.2">
      <c r="A8" s="429"/>
      <c r="B8" s="429"/>
      <c r="C8" s="429"/>
      <c r="D8" s="13"/>
      <c r="E8" s="13"/>
      <c r="F8" s="13"/>
      <c r="G8" s="13"/>
      <c r="H8" s="12"/>
      <c r="I8" s="12"/>
      <c r="J8" s="12"/>
      <c r="K8" s="12"/>
      <c r="L8" s="12"/>
      <c r="M8" s="12"/>
      <c r="N8" s="12"/>
      <c r="O8" s="12"/>
      <c r="P8" s="12"/>
      <c r="Q8" s="12"/>
      <c r="R8" s="12"/>
      <c r="S8" s="12"/>
      <c r="T8" s="12"/>
      <c r="U8" s="12"/>
    </row>
    <row r="9" spans="1:29" s="11" customFormat="1" ht="18.75" x14ac:dyDescent="0.2">
      <c r="A9" s="430" t="str">
        <f>'1. паспорт местоположение'!A9:C9</f>
        <v>Акционерное общество "Россети Янтарь" ДЗО  ПАО "Россети"</v>
      </c>
      <c r="B9" s="430"/>
      <c r="C9" s="430"/>
      <c r="D9" s="7"/>
      <c r="E9" s="7"/>
      <c r="F9" s="7"/>
      <c r="G9" s="7"/>
      <c r="H9" s="12"/>
      <c r="I9" s="12"/>
      <c r="J9" s="12"/>
      <c r="K9" s="12"/>
      <c r="L9" s="12"/>
      <c r="M9" s="12"/>
      <c r="N9" s="12"/>
      <c r="O9" s="12"/>
      <c r="P9" s="12"/>
      <c r="Q9" s="12"/>
      <c r="R9" s="12"/>
      <c r="S9" s="12"/>
      <c r="T9" s="12"/>
      <c r="U9" s="12"/>
    </row>
    <row r="10" spans="1:29" s="11" customFormat="1" ht="18.75" x14ac:dyDescent="0.2">
      <c r="A10" s="434" t="s">
        <v>5</v>
      </c>
      <c r="B10" s="434"/>
      <c r="C10" s="434"/>
      <c r="D10" s="5"/>
      <c r="E10" s="5"/>
      <c r="F10" s="5"/>
      <c r="G10" s="5"/>
      <c r="H10" s="12"/>
      <c r="I10" s="12"/>
      <c r="J10" s="12"/>
      <c r="K10" s="12"/>
      <c r="L10" s="12"/>
      <c r="M10" s="12"/>
      <c r="N10" s="12"/>
      <c r="O10" s="12"/>
      <c r="P10" s="12"/>
      <c r="Q10" s="12"/>
      <c r="R10" s="12"/>
      <c r="S10" s="12"/>
      <c r="T10" s="12"/>
      <c r="U10" s="12"/>
    </row>
    <row r="11" spans="1:29" s="11" customFormat="1" ht="18.75" x14ac:dyDescent="0.2">
      <c r="A11" s="429"/>
      <c r="B11" s="429"/>
      <c r="C11" s="429"/>
      <c r="D11" s="13"/>
      <c r="E11" s="13"/>
      <c r="F11" s="13"/>
      <c r="G11" s="13"/>
      <c r="H11" s="12"/>
      <c r="I11" s="12"/>
      <c r="J11" s="12"/>
      <c r="K11" s="12"/>
      <c r="L11" s="12"/>
      <c r="M11" s="12"/>
      <c r="N11" s="12"/>
      <c r="O11" s="12"/>
      <c r="P11" s="12"/>
      <c r="Q11" s="12"/>
      <c r="R11" s="12"/>
      <c r="S11" s="12"/>
      <c r="T11" s="12"/>
      <c r="U11" s="12"/>
    </row>
    <row r="12" spans="1:29" s="11" customFormat="1" ht="18.75" x14ac:dyDescent="0.2">
      <c r="A12" s="430" t="str">
        <f>'1. паспорт местоположение'!A12:C12</f>
        <v>N_18-0871</v>
      </c>
      <c r="B12" s="430"/>
      <c r="C12" s="430"/>
      <c r="D12" s="7"/>
      <c r="E12" s="7"/>
      <c r="F12" s="7"/>
      <c r="G12" s="7"/>
      <c r="H12" s="12"/>
      <c r="I12" s="12"/>
      <c r="J12" s="12"/>
      <c r="K12" s="12"/>
      <c r="L12" s="12"/>
      <c r="M12" s="12"/>
      <c r="N12" s="12"/>
      <c r="O12" s="12"/>
      <c r="P12" s="12"/>
      <c r="Q12" s="12"/>
      <c r="R12" s="12"/>
      <c r="S12" s="12"/>
      <c r="T12" s="12"/>
      <c r="U12" s="12"/>
    </row>
    <row r="13" spans="1:29" s="11" customFormat="1" ht="18.75" x14ac:dyDescent="0.2">
      <c r="A13" s="434" t="s">
        <v>4</v>
      </c>
      <c r="B13" s="434"/>
      <c r="C13" s="4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5"/>
      <c r="B14" s="435"/>
      <c r="C14" s="435"/>
      <c r="D14" s="9"/>
      <c r="E14" s="9"/>
      <c r="F14" s="9"/>
      <c r="G14" s="9"/>
      <c r="H14" s="9"/>
      <c r="I14" s="9"/>
      <c r="J14" s="9"/>
      <c r="K14" s="9"/>
      <c r="L14" s="9"/>
      <c r="M14" s="9"/>
      <c r="N14" s="9"/>
      <c r="O14" s="9"/>
      <c r="P14" s="9"/>
      <c r="Q14" s="9"/>
      <c r="R14" s="9"/>
      <c r="S14" s="9"/>
      <c r="T14" s="9"/>
      <c r="U14" s="9"/>
    </row>
    <row r="15" spans="1:29" s="3" customFormat="1" ht="12" x14ac:dyDescent="0.2">
      <c r="A15"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0"/>
      <c r="C15" s="430"/>
      <c r="D15" s="7"/>
      <c r="E15" s="7"/>
      <c r="F15" s="7"/>
      <c r="G15" s="7"/>
      <c r="H15" s="7"/>
      <c r="I15" s="7"/>
      <c r="J15" s="7"/>
      <c r="K15" s="7"/>
      <c r="L15" s="7"/>
      <c r="M15" s="7"/>
      <c r="N15" s="7"/>
      <c r="O15" s="7"/>
      <c r="P15" s="7"/>
      <c r="Q15" s="7"/>
      <c r="R15" s="7"/>
      <c r="S15" s="7"/>
      <c r="T15" s="7"/>
      <c r="U15" s="7"/>
    </row>
    <row r="16" spans="1:29" s="3" customFormat="1" ht="15" customHeight="1" x14ac:dyDescent="0.2">
      <c r="A16" s="434" t="s">
        <v>3</v>
      </c>
      <c r="B16" s="434"/>
      <c r="C16" s="434"/>
      <c r="D16" s="5"/>
      <c r="E16" s="5"/>
      <c r="F16" s="5"/>
      <c r="G16" s="5"/>
      <c r="H16" s="5"/>
      <c r="I16" s="5"/>
      <c r="J16" s="5"/>
      <c r="K16" s="5"/>
      <c r="L16" s="5"/>
      <c r="M16" s="5"/>
      <c r="N16" s="5"/>
      <c r="O16" s="5"/>
      <c r="P16" s="5"/>
      <c r="Q16" s="5"/>
      <c r="R16" s="5"/>
      <c r="S16" s="5"/>
      <c r="T16" s="5"/>
      <c r="U16" s="5"/>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38" t="s">
        <v>434</v>
      </c>
      <c r="B18" s="438"/>
      <c r="C18" s="4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1" t="s">
        <v>63</v>
      </c>
      <c r="C20" s="30"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30">
        <v>3</v>
      </c>
      <c r="D21" s="28"/>
      <c r="E21" s="28"/>
      <c r="F21" s="28"/>
      <c r="G21" s="28"/>
      <c r="H21" s="27"/>
      <c r="I21" s="27"/>
      <c r="J21" s="27"/>
      <c r="K21" s="27"/>
      <c r="L21" s="27"/>
      <c r="M21" s="27"/>
      <c r="N21" s="27"/>
      <c r="O21" s="27"/>
      <c r="P21" s="27"/>
      <c r="Q21" s="27"/>
      <c r="R21" s="27"/>
      <c r="S21" s="26"/>
      <c r="T21" s="26"/>
      <c r="U21" s="26"/>
    </row>
    <row r="22" spans="1:21" s="3" customFormat="1" ht="48.75" customHeight="1" x14ac:dyDescent="0.2">
      <c r="A22" s="23" t="s">
        <v>61</v>
      </c>
      <c r="B22" s="29" t="s">
        <v>447</v>
      </c>
      <c r="C22" s="245" t="s">
        <v>560</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523</v>
      </c>
      <c r="D23" s="22"/>
      <c r="E23" s="22"/>
      <c r="F23" s="22"/>
      <c r="G23" s="22"/>
      <c r="H23" s="22"/>
      <c r="I23" s="22"/>
      <c r="J23" s="22"/>
      <c r="K23" s="22"/>
      <c r="L23" s="22"/>
      <c r="M23" s="22"/>
      <c r="N23" s="22"/>
      <c r="O23" s="22"/>
      <c r="P23" s="22"/>
      <c r="Q23" s="22"/>
      <c r="R23" s="22"/>
      <c r="S23" s="22"/>
      <c r="T23" s="22"/>
      <c r="U23" s="22"/>
    </row>
    <row r="24" spans="1:21" ht="135.75" customHeight="1" x14ac:dyDescent="0.25">
      <c r="A24" s="23" t="s">
        <v>59</v>
      </c>
      <c r="B24" s="25" t="s">
        <v>467</v>
      </c>
      <c r="C24" s="281" t="str">
        <f>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468</v>
      </c>
      <c r="C25" s="24" t="s">
        <v>570</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512</v>
      </c>
      <c r="D26" s="22"/>
      <c r="E26" s="22"/>
      <c r="F26" s="22"/>
      <c r="G26" s="22"/>
      <c r="H26" s="22"/>
      <c r="I26" s="22"/>
      <c r="J26" s="22"/>
      <c r="K26" s="22"/>
      <c r="L26" s="22"/>
      <c r="M26" s="22"/>
      <c r="N26" s="22"/>
      <c r="O26" s="22"/>
      <c r="P26" s="22"/>
      <c r="Q26" s="22"/>
      <c r="R26" s="22"/>
      <c r="S26" s="22"/>
      <c r="T26" s="22"/>
      <c r="U26" s="22"/>
    </row>
    <row r="27" spans="1:21" ht="204.75" x14ac:dyDescent="0.25">
      <c r="A27" s="23" t="s">
        <v>55</v>
      </c>
      <c r="B27" s="25" t="s">
        <v>448</v>
      </c>
      <c r="C27" s="24" t="s">
        <v>573</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3">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3">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593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
  <sheetViews>
    <sheetView view="pageBreakPreview" zoomScale="80" zoomScaleNormal="80" zoomScaleSheetLayoutView="80" workbookViewId="0">
      <selection activeCell="D30" sqref="D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7.42578125" customWidth="1"/>
    <col min="19" max="19" width="17" customWidth="1"/>
    <col min="20" max="20" width="15.42578125" customWidth="1"/>
    <col min="21" max="21" width="12" customWidth="1"/>
    <col min="22" max="22" width="13.28515625" customWidth="1"/>
    <col min="23" max="24" width="17.7109375" customWidth="1"/>
    <col min="25" max="25" width="35.85546875" customWidth="1"/>
    <col min="26" max="26" width="25.42578125" customWidth="1"/>
    <col min="27" max="28" width="12.28515625" customWidth="1"/>
  </cols>
  <sheetData>
    <row r="1" spans="1:28" ht="18.75" x14ac:dyDescent="0.25">
      <c r="Z1" s="32" t="s">
        <v>65</v>
      </c>
    </row>
    <row r="2" spans="1:28" ht="18.75" x14ac:dyDescent="0.3">
      <c r="Z2" s="14" t="s">
        <v>7</v>
      </c>
    </row>
    <row r="3" spans="1:28" ht="18.75" x14ac:dyDescent="0.3">
      <c r="Z3" s="14" t="s">
        <v>64</v>
      </c>
    </row>
    <row r="4" spans="1:28" ht="18.75" customHeight="1" x14ac:dyDescent="0.25">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29" t="s">
        <v>6</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09"/>
      <c r="AB6" s="109"/>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09"/>
      <c r="AB7" s="109"/>
    </row>
    <row r="8" spans="1:28" x14ac:dyDescent="0.25">
      <c r="A8" s="430" t="str">
        <f>'1. паспорт местоположение'!A9</f>
        <v>Акционерное общество "Россети Янтарь"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10"/>
      <c r="AB8" s="110"/>
    </row>
    <row r="9" spans="1:28" ht="15.75" x14ac:dyDescent="0.25">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11"/>
      <c r="AB9" s="111"/>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09"/>
      <c r="AB10" s="109"/>
    </row>
    <row r="11" spans="1:28" x14ac:dyDescent="0.25">
      <c r="A11" s="430" t="str">
        <f>'1. паспорт местоположение'!A12:C12</f>
        <v>N_18-0871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10"/>
      <c r="AB11" s="110"/>
    </row>
    <row r="12" spans="1:28" ht="15.75" x14ac:dyDescent="0.25">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11"/>
      <c r="AB12" s="111"/>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0"/>
      <c r="AB13" s="10"/>
    </row>
    <row r="14" spans="1:28" x14ac:dyDescent="0.25">
      <c r="A14"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10"/>
      <c r="AB14" s="110"/>
    </row>
    <row r="15" spans="1:28" ht="15.75" x14ac:dyDescent="0.25">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11"/>
      <c r="AB15" s="111"/>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18"/>
      <c r="AB16" s="118"/>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18"/>
      <c r="AB17" s="118"/>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18"/>
      <c r="AB18" s="118"/>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18"/>
      <c r="AB19" s="118"/>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19"/>
      <c r="AB20" s="119"/>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19"/>
      <c r="AB21" s="119"/>
    </row>
    <row r="22" spans="1:28" x14ac:dyDescent="0.25">
      <c r="A22" s="468" t="s">
        <v>466</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20"/>
      <c r="AB22" s="120"/>
    </row>
    <row r="23" spans="1:28" ht="32.25" customHeight="1" x14ac:dyDescent="0.25">
      <c r="A23" s="470" t="s">
        <v>320</v>
      </c>
      <c r="B23" s="471"/>
      <c r="C23" s="471"/>
      <c r="D23" s="471"/>
      <c r="E23" s="471"/>
      <c r="F23" s="471"/>
      <c r="G23" s="471"/>
      <c r="H23" s="471"/>
      <c r="I23" s="471"/>
      <c r="J23" s="471"/>
      <c r="K23" s="471"/>
      <c r="L23" s="472"/>
      <c r="M23" s="469" t="s">
        <v>321</v>
      </c>
      <c r="N23" s="469"/>
      <c r="O23" s="469"/>
      <c r="P23" s="469"/>
      <c r="Q23" s="469"/>
      <c r="R23" s="469"/>
      <c r="S23" s="469"/>
      <c r="T23" s="469"/>
      <c r="U23" s="469"/>
      <c r="V23" s="469"/>
      <c r="W23" s="469"/>
      <c r="X23" s="469"/>
      <c r="Y23" s="469"/>
      <c r="Z23" s="469"/>
    </row>
    <row r="24" spans="1:28" ht="151.5" customHeight="1" x14ac:dyDescent="0.25">
      <c r="A24" s="66" t="s">
        <v>228</v>
      </c>
      <c r="B24" s="67" t="s">
        <v>236</v>
      </c>
      <c r="C24" s="66" t="s">
        <v>314</v>
      </c>
      <c r="D24" s="66" t="s">
        <v>229</v>
      </c>
      <c r="E24" s="66" t="s">
        <v>315</v>
      </c>
      <c r="F24" s="66" t="s">
        <v>317</v>
      </c>
      <c r="G24" s="66" t="s">
        <v>316</v>
      </c>
      <c r="H24" s="66" t="s">
        <v>230</v>
      </c>
      <c r="I24" s="66" t="s">
        <v>318</v>
      </c>
      <c r="J24" s="66" t="s">
        <v>237</v>
      </c>
      <c r="K24" s="67" t="s">
        <v>235</v>
      </c>
      <c r="L24" s="67" t="s">
        <v>231</v>
      </c>
      <c r="M24" s="68" t="s">
        <v>245</v>
      </c>
      <c r="N24" s="67" t="s">
        <v>477</v>
      </c>
      <c r="O24" s="66" t="s">
        <v>243</v>
      </c>
      <c r="P24" s="66" t="s">
        <v>244</v>
      </c>
      <c r="Q24" s="66" t="s">
        <v>242</v>
      </c>
      <c r="R24" s="66" t="s">
        <v>230</v>
      </c>
      <c r="S24" s="66" t="s">
        <v>241</v>
      </c>
      <c r="T24" s="66" t="s">
        <v>240</v>
      </c>
      <c r="U24" s="66" t="s">
        <v>313</v>
      </c>
      <c r="V24" s="66" t="s">
        <v>242</v>
      </c>
      <c r="W24" s="72" t="s">
        <v>234</v>
      </c>
      <c r="X24" s="72" t="s">
        <v>247</v>
      </c>
      <c r="Y24" s="72" t="s">
        <v>248</v>
      </c>
      <c r="Z24" s="74" t="s">
        <v>246</v>
      </c>
    </row>
    <row r="25" spans="1:28" ht="16.5" customHeight="1" x14ac:dyDescent="0.25">
      <c r="A25" s="66">
        <v>1</v>
      </c>
      <c r="B25" s="67">
        <v>2</v>
      </c>
      <c r="C25" s="66">
        <v>3</v>
      </c>
      <c r="D25" s="67">
        <v>4</v>
      </c>
      <c r="E25" s="66">
        <v>5</v>
      </c>
      <c r="F25" s="67">
        <v>6</v>
      </c>
      <c r="G25" s="66">
        <v>7</v>
      </c>
      <c r="H25" s="67">
        <v>8</v>
      </c>
      <c r="I25" s="66">
        <v>9</v>
      </c>
      <c r="J25" s="67">
        <v>10</v>
      </c>
      <c r="K25" s="121">
        <v>11</v>
      </c>
      <c r="L25" s="67">
        <v>12</v>
      </c>
      <c r="M25" s="121">
        <v>13</v>
      </c>
      <c r="N25" s="67">
        <v>14</v>
      </c>
      <c r="O25" s="121">
        <v>15</v>
      </c>
      <c r="P25" s="67">
        <v>16</v>
      </c>
      <c r="Q25" s="121">
        <v>17</v>
      </c>
      <c r="R25" s="67">
        <v>18</v>
      </c>
      <c r="S25" s="121">
        <v>19</v>
      </c>
      <c r="T25" s="67">
        <v>20</v>
      </c>
      <c r="U25" s="121">
        <v>21</v>
      </c>
      <c r="V25" s="67">
        <v>22</v>
      </c>
      <c r="W25" s="121">
        <v>23</v>
      </c>
      <c r="X25" s="67">
        <v>24</v>
      </c>
      <c r="Y25" s="121">
        <v>25</v>
      </c>
      <c r="Z25" s="67">
        <v>26</v>
      </c>
    </row>
    <row r="26" spans="1:28" ht="45.75" customHeight="1" x14ac:dyDescent="0.25">
      <c r="A26" s="282"/>
      <c r="B26" s="283"/>
      <c r="C26" s="284" t="s">
        <v>307</v>
      </c>
      <c r="D26" s="284" t="s">
        <v>308</v>
      </c>
      <c r="E26" s="284" t="s">
        <v>309</v>
      </c>
      <c r="F26" s="284" t="s">
        <v>238</v>
      </c>
      <c r="G26" s="284" t="s">
        <v>310</v>
      </c>
      <c r="H26" s="284" t="s">
        <v>230</v>
      </c>
      <c r="I26" s="284" t="s">
        <v>311</v>
      </c>
      <c r="J26" s="284" t="s">
        <v>312</v>
      </c>
      <c r="K26" s="285"/>
      <c r="L26" s="286" t="s">
        <v>232</v>
      </c>
      <c r="M26" s="287"/>
      <c r="N26" s="283"/>
      <c r="O26" s="282"/>
      <c r="P26" s="283"/>
      <c r="Q26" s="282"/>
      <c r="R26" s="283"/>
      <c r="S26" s="282"/>
      <c r="T26" s="283"/>
      <c r="U26" s="282"/>
      <c r="V26" s="283"/>
      <c r="W26" s="282"/>
      <c r="X26" s="283"/>
      <c r="Y26" s="282"/>
      <c r="Z26" s="283"/>
    </row>
    <row r="27" spans="1:28" ht="69" customHeight="1" x14ac:dyDescent="0.25">
      <c r="A27" s="288"/>
      <c r="B27" s="473" t="s">
        <v>552</v>
      </c>
      <c r="C27" s="474"/>
      <c r="D27" s="474"/>
      <c r="E27" s="474"/>
      <c r="F27" s="474"/>
      <c r="G27" s="474"/>
      <c r="H27" s="474"/>
      <c r="I27" s="475"/>
      <c r="J27" s="289"/>
      <c r="K27" s="290"/>
      <c r="L27" s="291"/>
      <c r="M27" s="292"/>
      <c r="N27" s="290"/>
      <c r="O27" s="285"/>
      <c r="P27" s="293"/>
      <c r="Q27" s="289"/>
      <c r="R27" s="285"/>
      <c r="S27" s="294"/>
      <c r="T27" s="295"/>
      <c r="U27" s="285"/>
      <c r="V27" s="296"/>
      <c r="W27" s="296"/>
      <c r="X27" s="296"/>
      <c r="Y27" s="297"/>
      <c r="Z27" s="298"/>
    </row>
    <row r="28" spans="1:28" x14ac:dyDescent="0.25">
      <c r="A28" s="299"/>
      <c r="B28" s="300"/>
      <c r="C28" s="299"/>
      <c r="D28" s="299"/>
      <c r="E28" s="299"/>
      <c r="F28" s="299"/>
      <c r="G28" s="299"/>
      <c r="H28" s="299"/>
      <c r="I28" s="299"/>
      <c r="J28" s="299"/>
      <c r="K28" s="301"/>
      <c r="L28" s="302"/>
      <c r="M28" s="291"/>
      <c r="N28" s="303"/>
      <c r="O28" s="303"/>
      <c r="P28" s="303"/>
      <c r="Q28" s="303"/>
      <c r="R28" s="303"/>
      <c r="S28" s="303"/>
      <c r="T28" s="303"/>
      <c r="U28" s="303"/>
      <c r="V28" s="303"/>
      <c r="W28" s="303"/>
      <c r="X28" s="303"/>
      <c r="Y28" s="303"/>
      <c r="Z28" s="303"/>
    </row>
    <row r="29" spans="1:28" x14ac:dyDescent="0.25">
      <c r="A29" s="304"/>
      <c r="B29" s="304"/>
      <c r="C29" s="299"/>
      <c r="D29" s="299"/>
      <c r="E29" s="299"/>
      <c r="F29" s="299"/>
      <c r="G29" s="299"/>
      <c r="H29" s="299"/>
      <c r="I29" s="299"/>
      <c r="J29" s="299"/>
      <c r="K29" s="299"/>
      <c r="L29" s="299"/>
      <c r="M29" s="299"/>
      <c r="N29" s="303"/>
      <c r="O29" s="303"/>
      <c r="P29" s="303"/>
      <c r="Q29" s="303"/>
      <c r="R29" s="303"/>
      <c r="S29" s="303"/>
      <c r="T29" s="303"/>
      <c r="U29" s="303"/>
      <c r="V29" s="303"/>
      <c r="W29" s="303"/>
      <c r="X29" s="303"/>
      <c r="Y29" s="303"/>
      <c r="Z29" s="305"/>
    </row>
    <row r="30" spans="1:28" x14ac:dyDescent="0.25">
      <c r="A30" s="304"/>
      <c r="B30" s="300"/>
      <c r="C30" s="299"/>
      <c r="D30" s="299"/>
      <c r="E30" s="299"/>
      <c r="F30" s="299"/>
      <c r="G30" s="299"/>
      <c r="H30" s="299"/>
      <c r="I30" s="299"/>
      <c r="J30" s="299"/>
      <c r="K30" s="299"/>
      <c r="L30" s="306"/>
      <c r="M30" s="299"/>
      <c r="N30" s="303"/>
      <c r="O30" s="303"/>
      <c r="P30" s="303"/>
      <c r="Q30" s="303"/>
      <c r="R30" s="303"/>
      <c r="S30" s="303"/>
      <c r="T30" s="303"/>
      <c r="U30" s="303"/>
      <c r="V30" s="303"/>
      <c r="W30" s="303"/>
      <c r="X30" s="303"/>
      <c r="Y30" s="303"/>
      <c r="Z30" s="305"/>
    </row>
    <row r="31" spans="1:28" x14ac:dyDescent="0.25">
      <c r="A31" s="304"/>
      <c r="B31" s="304"/>
      <c r="C31" s="299"/>
      <c r="D31" s="299"/>
      <c r="E31" s="299"/>
      <c r="F31" s="299"/>
      <c r="G31" s="299"/>
      <c r="H31" s="299"/>
      <c r="I31" s="299"/>
      <c r="J31" s="299"/>
      <c r="K31" s="299"/>
      <c r="L31" s="299"/>
      <c r="M31" s="299"/>
      <c r="N31" s="303"/>
      <c r="O31" s="303"/>
      <c r="P31" s="303"/>
      <c r="Q31" s="303"/>
      <c r="R31" s="303"/>
      <c r="S31" s="303"/>
      <c r="T31" s="303"/>
      <c r="U31" s="303"/>
      <c r="V31" s="303"/>
      <c r="W31" s="303"/>
      <c r="X31" s="303"/>
      <c r="Y31" s="303"/>
      <c r="Z31" s="305"/>
    </row>
    <row r="32" spans="1:28" x14ac:dyDescent="0.25">
      <c r="A32" s="299"/>
      <c r="B32" s="300"/>
      <c r="C32" s="299"/>
      <c r="D32" s="299"/>
      <c r="E32" s="299"/>
      <c r="F32" s="299"/>
      <c r="G32" s="299"/>
      <c r="H32" s="299"/>
      <c r="I32" s="299"/>
      <c r="J32" s="299"/>
      <c r="K32" s="299"/>
      <c r="L32" s="299"/>
      <c r="M32" s="299"/>
      <c r="N32" s="303"/>
      <c r="O32" s="303"/>
      <c r="P32" s="303"/>
      <c r="Q32" s="303"/>
      <c r="R32" s="303"/>
      <c r="S32" s="303"/>
      <c r="T32" s="303"/>
      <c r="U32" s="303"/>
      <c r="V32" s="303"/>
      <c r="W32" s="303"/>
      <c r="X32" s="303"/>
      <c r="Y32" s="303"/>
      <c r="Z32" s="303"/>
    </row>
    <row r="36" spans="1:1" x14ac:dyDescent="0.25">
      <c r="A36" s="73"/>
    </row>
  </sheetData>
  <mergeCells count="21">
    <mergeCell ref="B27:I27"/>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4.42578125" style="1" customWidth="1"/>
    <col min="16" max="16384" width="9.140625" style="1"/>
  </cols>
  <sheetData>
    <row r="1" spans="1:28" s="11" customFormat="1" ht="18.75" customHeight="1" x14ac:dyDescent="0.2">
      <c r="A1" s="17"/>
      <c r="B1" s="17"/>
      <c r="O1" s="32"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117"/>
      <c r="Q5" s="117"/>
      <c r="R5" s="117"/>
      <c r="S5" s="117"/>
      <c r="T5" s="117"/>
      <c r="U5" s="117"/>
      <c r="V5" s="117"/>
      <c r="W5" s="117"/>
      <c r="X5" s="117"/>
      <c r="Y5" s="117"/>
      <c r="Z5" s="117"/>
      <c r="AA5" s="117"/>
      <c r="AB5" s="117"/>
    </row>
    <row r="6" spans="1:28" s="11" customFormat="1" ht="18.75" x14ac:dyDescent="0.3">
      <c r="A6" s="16"/>
      <c r="B6" s="16"/>
      <c r="L6" s="14"/>
    </row>
    <row r="7" spans="1:28" s="11" customFormat="1" ht="18.75" x14ac:dyDescent="0.2">
      <c r="A7" s="429" t="s">
        <v>6</v>
      </c>
      <c r="B7" s="429"/>
      <c r="C7" s="429"/>
      <c r="D7" s="429"/>
      <c r="E7" s="429"/>
      <c r="F7" s="429"/>
      <c r="G7" s="429"/>
      <c r="H7" s="429"/>
      <c r="I7" s="429"/>
      <c r="J7" s="429"/>
      <c r="K7" s="429"/>
      <c r="L7" s="429"/>
      <c r="M7" s="429"/>
      <c r="N7" s="429"/>
      <c r="O7" s="429"/>
      <c r="P7" s="12"/>
      <c r="Q7" s="12"/>
      <c r="R7" s="12"/>
      <c r="S7" s="12"/>
      <c r="T7" s="12"/>
      <c r="U7" s="12"/>
      <c r="V7" s="12"/>
      <c r="W7" s="12"/>
      <c r="X7" s="12"/>
      <c r="Y7" s="12"/>
      <c r="Z7" s="12"/>
    </row>
    <row r="8" spans="1:28" s="11" customFormat="1" ht="18.75" x14ac:dyDescent="0.2">
      <c r="A8" s="429"/>
      <c r="B8" s="429"/>
      <c r="C8" s="429"/>
      <c r="D8" s="429"/>
      <c r="E8" s="429"/>
      <c r="F8" s="429"/>
      <c r="G8" s="429"/>
      <c r="H8" s="429"/>
      <c r="I8" s="429"/>
      <c r="J8" s="429"/>
      <c r="K8" s="429"/>
      <c r="L8" s="429"/>
      <c r="M8" s="429"/>
      <c r="N8" s="429"/>
      <c r="O8" s="429"/>
      <c r="P8" s="12"/>
      <c r="Q8" s="12"/>
      <c r="R8" s="12"/>
      <c r="S8" s="12"/>
      <c r="T8" s="12"/>
      <c r="U8" s="12"/>
      <c r="V8" s="12"/>
      <c r="W8" s="12"/>
      <c r="X8" s="12"/>
      <c r="Y8" s="12"/>
      <c r="Z8" s="12"/>
    </row>
    <row r="9" spans="1:28" s="11" customFormat="1" ht="18.75" x14ac:dyDescent="0.2">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c r="M9" s="430"/>
      <c r="N9" s="430"/>
      <c r="O9" s="430"/>
      <c r="P9" s="12"/>
      <c r="Q9" s="12"/>
      <c r="R9" s="12"/>
      <c r="S9" s="12"/>
      <c r="T9" s="12"/>
      <c r="U9" s="12"/>
      <c r="V9" s="12"/>
      <c r="W9" s="12"/>
      <c r="X9" s="12"/>
      <c r="Y9" s="12"/>
      <c r="Z9" s="12"/>
    </row>
    <row r="10" spans="1:28" s="11" customFormat="1" ht="18.75" x14ac:dyDescent="0.2">
      <c r="A10" s="434" t="s">
        <v>5</v>
      </c>
      <c r="B10" s="434"/>
      <c r="C10" s="434"/>
      <c r="D10" s="434"/>
      <c r="E10" s="434"/>
      <c r="F10" s="434"/>
      <c r="G10" s="434"/>
      <c r="H10" s="434"/>
      <c r="I10" s="434"/>
      <c r="J10" s="434"/>
      <c r="K10" s="434"/>
      <c r="L10" s="434"/>
      <c r="M10" s="434"/>
      <c r="N10" s="434"/>
      <c r="O10" s="434"/>
      <c r="P10" s="12"/>
      <c r="Q10" s="12"/>
      <c r="R10" s="12"/>
      <c r="S10" s="12"/>
      <c r="T10" s="12"/>
      <c r="U10" s="12"/>
      <c r="V10" s="12"/>
      <c r="W10" s="12"/>
      <c r="X10" s="12"/>
      <c r="Y10" s="12"/>
      <c r="Z10" s="12"/>
    </row>
    <row r="11" spans="1:28" s="11" customFormat="1" ht="18.75" x14ac:dyDescent="0.2">
      <c r="A11" s="429"/>
      <c r="B11" s="429"/>
      <c r="C11" s="429"/>
      <c r="D11" s="429"/>
      <c r="E11" s="429"/>
      <c r="F11" s="429"/>
      <c r="G11" s="429"/>
      <c r="H11" s="429"/>
      <c r="I11" s="429"/>
      <c r="J11" s="429"/>
      <c r="K11" s="429"/>
      <c r="L11" s="429"/>
      <c r="M11" s="429"/>
      <c r="N11" s="429"/>
      <c r="O11" s="429"/>
      <c r="P11" s="12"/>
      <c r="Q11" s="12"/>
      <c r="R11" s="12"/>
      <c r="S11" s="12"/>
      <c r="T11" s="12"/>
      <c r="U11" s="12"/>
      <c r="V11" s="12"/>
      <c r="W11" s="12"/>
      <c r="X11" s="12"/>
      <c r="Y11" s="12"/>
      <c r="Z11" s="12"/>
    </row>
    <row r="12" spans="1:28" s="11" customFormat="1" ht="18.75" x14ac:dyDescent="0.2">
      <c r="A12" s="430" t="str">
        <f>'1. паспорт местоположение'!A12:C12</f>
        <v>N_18-0871</v>
      </c>
      <c r="B12" s="430"/>
      <c r="C12" s="430"/>
      <c r="D12" s="430"/>
      <c r="E12" s="430"/>
      <c r="F12" s="430"/>
      <c r="G12" s="430"/>
      <c r="H12" s="430"/>
      <c r="I12" s="430"/>
      <c r="J12" s="430"/>
      <c r="K12" s="430"/>
      <c r="L12" s="430"/>
      <c r="M12" s="430"/>
      <c r="N12" s="430"/>
      <c r="O12" s="430"/>
      <c r="P12" s="12"/>
      <c r="Q12" s="12"/>
      <c r="R12" s="12"/>
      <c r="S12" s="12"/>
      <c r="T12" s="12"/>
      <c r="U12" s="12"/>
      <c r="V12" s="12"/>
      <c r="W12" s="12"/>
      <c r="X12" s="12"/>
      <c r="Y12" s="12"/>
      <c r="Z12" s="12"/>
    </row>
    <row r="13" spans="1:28" s="11" customFormat="1" ht="18.75" x14ac:dyDescent="0.2">
      <c r="A13" s="434" t="s">
        <v>4</v>
      </c>
      <c r="B13" s="434"/>
      <c r="C13" s="434"/>
      <c r="D13" s="434"/>
      <c r="E13" s="434"/>
      <c r="F13" s="434"/>
      <c r="G13" s="434"/>
      <c r="H13" s="434"/>
      <c r="I13" s="434"/>
      <c r="J13" s="434"/>
      <c r="K13" s="434"/>
      <c r="L13" s="434"/>
      <c r="M13" s="434"/>
      <c r="N13" s="434"/>
      <c r="O13" s="434"/>
      <c r="P13" s="12"/>
      <c r="Q13" s="12"/>
      <c r="R13" s="12"/>
      <c r="S13" s="12"/>
      <c r="T13" s="12"/>
      <c r="U13" s="12"/>
      <c r="V13" s="12"/>
      <c r="W13" s="12"/>
      <c r="X13" s="12"/>
      <c r="Y13" s="12"/>
      <c r="Z13" s="12"/>
    </row>
    <row r="14" spans="1:28" s="8" customFormat="1" ht="15.75" customHeight="1" x14ac:dyDescent="0.2">
      <c r="A14" s="435"/>
      <c r="B14" s="435"/>
      <c r="C14" s="435"/>
      <c r="D14" s="435"/>
      <c r="E14" s="435"/>
      <c r="F14" s="435"/>
      <c r="G14" s="435"/>
      <c r="H14" s="435"/>
      <c r="I14" s="435"/>
      <c r="J14" s="435"/>
      <c r="K14" s="435"/>
      <c r="L14" s="435"/>
      <c r="M14" s="435"/>
      <c r="N14" s="435"/>
      <c r="O14" s="435"/>
      <c r="P14" s="9"/>
      <c r="Q14" s="9"/>
      <c r="R14" s="9"/>
      <c r="S14" s="9"/>
      <c r="T14" s="9"/>
      <c r="U14" s="9"/>
      <c r="V14" s="9"/>
      <c r="W14" s="9"/>
      <c r="X14" s="9"/>
      <c r="Y14" s="9"/>
      <c r="Z14" s="9"/>
    </row>
    <row r="15" spans="1:28" s="3" customFormat="1" ht="12" x14ac:dyDescent="0.2">
      <c r="A15"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0"/>
      <c r="C15" s="430"/>
      <c r="D15" s="430"/>
      <c r="E15" s="430"/>
      <c r="F15" s="430"/>
      <c r="G15" s="430"/>
      <c r="H15" s="430"/>
      <c r="I15" s="430"/>
      <c r="J15" s="430"/>
      <c r="K15" s="430"/>
      <c r="L15" s="430"/>
      <c r="M15" s="430"/>
      <c r="N15" s="430"/>
      <c r="O15" s="430"/>
      <c r="P15" s="7"/>
      <c r="Q15" s="7"/>
      <c r="R15" s="7"/>
      <c r="S15" s="7"/>
      <c r="T15" s="7"/>
      <c r="U15" s="7"/>
      <c r="V15" s="7"/>
      <c r="W15" s="7"/>
      <c r="X15" s="7"/>
      <c r="Y15" s="7"/>
      <c r="Z15" s="7"/>
    </row>
    <row r="16" spans="1:28" s="3" customFormat="1" ht="15" customHeight="1" x14ac:dyDescent="0.2">
      <c r="A16" s="434" t="s">
        <v>3</v>
      </c>
      <c r="B16" s="434"/>
      <c r="C16" s="434"/>
      <c r="D16" s="434"/>
      <c r="E16" s="434"/>
      <c r="F16" s="434"/>
      <c r="G16" s="434"/>
      <c r="H16" s="434"/>
      <c r="I16" s="434"/>
      <c r="J16" s="434"/>
      <c r="K16" s="434"/>
      <c r="L16" s="434"/>
      <c r="M16" s="434"/>
      <c r="N16" s="434"/>
      <c r="O16" s="434"/>
      <c r="P16" s="5"/>
      <c r="Q16" s="5"/>
      <c r="R16" s="5"/>
      <c r="S16" s="5"/>
      <c r="T16" s="5"/>
      <c r="U16" s="5"/>
      <c r="V16" s="5"/>
      <c r="W16" s="5"/>
      <c r="X16" s="5"/>
      <c r="Y16" s="5"/>
      <c r="Z16" s="5"/>
    </row>
    <row r="17" spans="1:26" s="3" customFormat="1" ht="15" customHeight="1" x14ac:dyDescent="0.2">
      <c r="A17" s="437"/>
      <c r="B17" s="437"/>
      <c r="C17" s="437"/>
      <c r="D17" s="437"/>
      <c r="E17" s="437"/>
      <c r="F17" s="437"/>
      <c r="G17" s="437"/>
      <c r="H17" s="437"/>
      <c r="I17" s="437"/>
      <c r="J17" s="437"/>
      <c r="K17" s="437"/>
      <c r="L17" s="437"/>
      <c r="M17" s="437"/>
      <c r="N17" s="437"/>
      <c r="O17" s="437"/>
      <c r="P17" s="4"/>
      <c r="Q17" s="4"/>
      <c r="R17" s="4"/>
      <c r="S17" s="4"/>
      <c r="T17" s="4"/>
      <c r="U17" s="4"/>
      <c r="V17" s="4"/>
      <c r="W17" s="4"/>
    </row>
    <row r="18" spans="1:26" s="3" customFormat="1" ht="91.5" customHeight="1" x14ac:dyDescent="0.2">
      <c r="A18" s="481" t="s">
        <v>443</v>
      </c>
      <c r="B18" s="481"/>
      <c r="C18" s="481"/>
      <c r="D18" s="481"/>
      <c r="E18" s="481"/>
      <c r="F18" s="481"/>
      <c r="G18" s="481"/>
      <c r="H18" s="481"/>
      <c r="I18" s="481"/>
      <c r="J18" s="481"/>
      <c r="K18" s="481"/>
      <c r="L18" s="481"/>
      <c r="M18" s="481"/>
      <c r="N18" s="481"/>
      <c r="O18" s="481"/>
      <c r="P18" s="6"/>
      <c r="Q18" s="6"/>
      <c r="R18" s="6"/>
      <c r="S18" s="6"/>
      <c r="T18" s="6"/>
      <c r="U18" s="6"/>
      <c r="V18" s="6"/>
      <c r="W18" s="6"/>
      <c r="X18" s="6"/>
      <c r="Y18" s="6"/>
      <c r="Z18" s="6"/>
    </row>
    <row r="19" spans="1:26" s="3" customFormat="1" ht="78" customHeight="1" x14ac:dyDescent="0.2">
      <c r="A19" s="477" t="s">
        <v>2</v>
      </c>
      <c r="B19" s="477" t="s">
        <v>81</v>
      </c>
      <c r="C19" s="477" t="s">
        <v>80</v>
      </c>
      <c r="D19" s="477" t="s">
        <v>72</v>
      </c>
      <c r="E19" s="478" t="s">
        <v>79</v>
      </c>
      <c r="F19" s="479"/>
      <c r="G19" s="479"/>
      <c r="H19" s="479"/>
      <c r="I19" s="480"/>
      <c r="J19" s="477" t="s">
        <v>78</v>
      </c>
      <c r="K19" s="477"/>
      <c r="L19" s="477"/>
      <c r="M19" s="477"/>
      <c r="N19" s="477"/>
      <c r="O19" s="477"/>
      <c r="P19" s="4"/>
      <c r="Q19" s="4"/>
      <c r="R19" s="4"/>
      <c r="S19" s="4"/>
      <c r="T19" s="4"/>
      <c r="U19" s="4"/>
      <c r="V19" s="4"/>
      <c r="W19" s="4"/>
    </row>
    <row r="20" spans="1:26" s="3" customFormat="1" ht="51" customHeight="1" x14ac:dyDescent="0.2">
      <c r="A20" s="477"/>
      <c r="B20" s="477"/>
      <c r="C20" s="477"/>
      <c r="D20" s="477"/>
      <c r="E20" s="353" t="s">
        <v>77</v>
      </c>
      <c r="F20" s="353" t="s">
        <v>76</v>
      </c>
      <c r="G20" s="353" t="s">
        <v>75</v>
      </c>
      <c r="H20" s="353" t="s">
        <v>74</v>
      </c>
      <c r="I20" s="353" t="s">
        <v>73</v>
      </c>
      <c r="J20" s="353">
        <v>2023</v>
      </c>
      <c r="K20" s="353">
        <v>2024</v>
      </c>
      <c r="L20" s="353">
        <v>2025</v>
      </c>
      <c r="M20" s="353">
        <v>2026</v>
      </c>
      <c r="N20" s="353">
        <v>2027</v>
      </c>
      <c r="O20" s="353">
        <v>2028</v>
      </c>
      <c r="P20" s="27"/>
      <c r="Q20" s="27"/>
      <c r="R20" s="27"/>
      <c r="S20" s="27"/>
      <c r="T20" s="27"/>
      <c r="U20" s="27"/>
      <c r="V20" s="27"/>
      <c r="W20" s="27"/>
      <c r="X20" s="26"/>
      <c r="Y20" s="26"/>
      <c r="Z20" s="26"/>
    </row>
    <row r="21" spans="1:26" s="3" customFormat="1" ht="16.5" customHeight="1" x14ac:dyDescent="0.2">
      <c r="A21" s="354">
        <v>1</v>
      </c>
      <c r="B21" s="355">
        <v>2</v>
      </c>
      <c r="C21" s="354">
        <v>3</v>
      </c>
      <c r="D21" s="355">
        <v>4</v>
      </c>
      <c r="E21" s="354">
        <v>5</v>
      </c>
      <c r="F21" s="355">
        <v>6</v>
      </c>
      <c r="G21" s="354">
        <v>7</v>
      </c>
      <c r="H21" s="355">
        <v>8</v>
      </c>
      <c r="I21" s="354">
        <v>9</v>
      </c>
      <c r="J21" s="355">
        <v>10</v>
      </c>
      <c r="K21" s="354">
        <v>11</v>
      </c>
      <c r="L21" s="355">
        <v>12</v>
      </c>
      <c r="M21" s="354">
        <v>13</v>
      </c>
      <c r="N21" s="355">
        <v>14</v>
      </c>
      <c r="O21" s="354">
        <v>15</v>
      </c>
      <c r="P21" s="27"/>
      <c r="Q21" s="27"/>
      <c r="R21" s="27"/>
      <c r="S21" s="27"/>
      <c r="T21" s="27"/>
      <c r="U21" s="27"/>
      <c r="V21" s="27"/>
      <c r="W21" s="27"/>
      <c r="X21" s="26"/>
      <c r="Y21" s="26"/>
      <c r="Z21" s="26"/>
    </row>
    <row r="22" spans="1:26" s="3" customFormat="1" ht="33" customHeight="1" x14ac:dyDescent="0.2">
      <c r="A22" s="356" t="s">
        <v>61</v>
      </c>
      <c r="B22" s="357">
        <v>2025</v>
      </c>
      <c r="C22" s="358">
        <v>0</v>
      </c>
      <c r="D22" s="358">
        <v>0</v>
      </c>
      <c r="E22" s="358">
        <v>0</v>
      </c>
      <c r="F22" s="358">
        <v>0</v>
      </c>
      <c r="G22" s="358">
        <v>0</v>
      </c>
      <c r="H22" s="358">
        <v>0</v>
      </c>
      <c r="I22" s="358">
        <v>0</v>
      </c>
      <c r="J22" s="359">
        <v>0</v>
      </c>
      <c r="K22" s="359">
        <v>0</v>
      </c>
      <c r="L22" s="360">
        <v>0</v>
      </c>
      <c r="M22" s="360">
        <v>0</v>
      </c>
      <c r="N22" s="360">
        <v>0</v>
      </c>
      <c r="O22" s="36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197"/>
  <sheetViews>
    <sheetView topLeftCell="A10" zoomScale="80" zoomScaleNormal="80" workbookViewId="0">
      <selection activeCell="C25" sqref="C25"/>
    </sheetView>
  </sheetViews>
  <sheetFormatPr defaultColWidth="9.140625" defaultRowHeight="15.75" x14ac:dyDescent="0.2"/>
  <cols>
    <col min="1" max="1" width="61.7109375" style="138" customWidth="1"/>
    <col min="2" max="2" width="18.5703125" style="123" customWidth="1"/>
    <col min="3" max="13" width="16.85546875" style="123" customWidth="1"/>
    <col min="14" max="42" width="16.85546875" style="123" hidden="1" customWidth="1"/>
    <col min="43" max="45" width="16.85546875" style="124" hidden="1" customWidth="1"/>
    <col min="46" max="47" width="16.85546875" style="125" hidden="1" customWidth="1"/>
    <col min="48" max="51" width="16.85546875" style="125" customWidth="1"/>
    <col min="52" max="256" width="9.140625" style="125"/>
    <col min="257" max="257" width="61.7109375" style="125" customWidth="1"/>
    <col min="258" max="258" width="18.5703125" style="125" customWidth="1"/>
    <col min="259" max="298" width="16.85546875" style="125" customWidth="1"/>
    <col min="299" max="300" width="18.5703125" style="125" customWidth="1"/>
    <col min="301" max="301" width="21.7109375" style="125" customWidth="1"/>
    <col min="302" max="512" width="9.140625" style="125"/>
    <col min="513" max="513" width="61.7109375" style="125" customWidth="1"/>
    <col min="514" max="514" width="18.5703125" style="125" customWidth="1"/>
    <col min="515" max="554" width="16.85546875" style="125" customWidth="1"/>
    <col min="555" max="556" width="18.5703125" style="125" customWidth="1"/>
    <col min="557" max="557" width="21.7109375" style="125" customWidth="1"/>
    <col min="558" max="768" width="9.140625" style="125"/>
    <col min="769" max="769" width="61.7109375" style="125" customWidth="1"/>
    <col min="770" max="770" width="18.5703125" style="125" customWidth="1"/>
    <col min="771" max="810" width="16.85546875" style="125" customWidth="1"/>
    <col min="811" max="812" width="18.5703125" style="125" customWidth="1"/>
    <col min="813" max="813" width="21.7109375" style="125" customWidth="1"/>
    <col min="814" max="1024" width="9.140625" style="125"/>
    <col min="1025" max="1025" width="61.7109375" style="125" customWidth="1"/>
    <col min="1026" max="1026" width="18.5703125" style="125" customWidth="1"/>
    <col min="1027" max="1066" width="16.85546875" style="125" customWidth="1"/>
    <col min="1067" max="1068" width="18.5703125" style="125" customWidth="1"/>
    <col min="1069" max="1069" width="21.7109375" style="125" customWidth="1"/>
    <col min="1070" max="1280" width="9.140625" style="125"/>
    <col min="1281" max="1281" width="61.7109375" style="125" customWidth="1"/>
    <col min="1282" max="1282" width="18.5703125" style="125" customWidth="1"/>
    <col min="1283" max="1322" width="16.85546875" style="125" customWidth="1"/>
    <col min="1323" max="1324" width="18.5703125" style="125" customWidth="1"/>
    <col min="1325" max="1325" width="21.7109375" style="125" customWidth="1"/>
    <col min="1326" max="1536" width="9.140625" style="125"/>
    <col min="1537" max="1537" width="61.7109375" style="125" customWidth="1"/>
    <col min="1538" max="1538" width="18.5703125" style="125" customWidth="1"/>
    <col min="1539" max="1578" width="16.85546875" style="125" customWidth="1"/>
    <col min="1579" max="1580" width="18.5703125" style="125" customWidth="1"/>
    <col min="1581" max="1581" width="21.7109375" style="125" customWidth="1"/>
    <col min="1582" max="1792" width="9.140625" style="125"/>
    <col min="1793" max="1793" width="61.7109375" style="125" customWidth="1"/>
    <col min="1794" max="1794" width="18.5703125" style="125" customWidth="1"/>
    <col min="1795" max="1834" width="16.85546875" style="125" customWidth="1"/>
    <col min="1835" max="1836" width="18.5703125" style="125" customWidth="1"/>
    <col min="1837" max="1837" width="21.7109375" style="125" customWidth="1"/>
    <col min="1838" max="2048" width="9.140625" style="125"/>
    <col min="2049" max="2049" width="61.7109375" style="125" customWidth="1"/>
    <col min="2050" max="2050" width="18.5703125" style="125" customWidth="1"/>
    <col min="2051" max="2090" width="16.85546875" style="125" customWidth="1"/>
    <col min="2091" max="2092" width="18.5703125" style="125" customWidth="1"/>
    <col min="2093" max="2093" width="21.7109375" style="125" customWidth="1"/>
    <col min="2094" max="2304" width="9.140625" style="125"/>
    <col min="2305" max="2305" width="61.7109375" style="125" customWidth="1"/>
    <col min="2306" max="2306" width="18.5703125" style="125" customWidth="1"/>
    <col min="2307" max="2346" width="16.85546875" style="125" customWidth="1"/>
    <col min="2347" max="2348" width="18.5703125" style="125" customWidth="1"/>
    <col min="2349" max="2349" width="21.7109375" style="125" customWidth="1"/>
    <col min="2350" max="2560" width="9.140625" style="125"/>
    <col min="2561" max="2561" width="61.7109375" style="125" customWidth="1"/>
    <col min="2562" max="2562" width="18.5703125" style="125" customWidth="1"/>
    <col min="2563" max="2602" width="16.85546875" style="125" customWidth="1"/>
    <col min="2603" max="2604" width="18.5703125" style="125" customWidth="1"/>
    <col min="2605" max="2605" width="21.7109375" style="125" customWidth="1"/>
    <col min="2606" max="2816" width="9.140625" style="125"/>
    <col min="2817" max="2817" width="61.7109375" style="125" customWidth="1"/>
    <col min="2818" max="2818" width="18.5703125" style="125" customWidth="1"/>
    <col min="2819" max="2858" width="16.85546875" style="125" customWidth="1"/>
    <col min="2859" max="2860" width="18.5703125" style="125" customWidth="1"/>
    <col min="2861" max="2861" width="21.7109375" style="125" customWidth="1"/>
    <col min="2862" max="3072" width="9.140625" style="125"/>
    <col min="3073" max="3073" width="61.7109375" style="125" customWidth="1"/>
    <col min="3074" max="3074" width="18.5703125" style="125" customWidth="1"/>
    <col min="3075" max="3114" width="16.85546875" style="125" customWidth="1"/>
    <col min="3115" max="3116" width="18.5703125" style="125" customWidth="1"/>
    <col min="3117" max="3117" width="21.7109375" style="125" customWidth="1"/>
    <col min="3118" max="3328" width="9.140625" style="125"/>
    <col min="3329" max="3329" width="61.7109375" style="125" customWidth="1"/>
    <col min="3330" max="3330" width="18.5703125" style="125" customWidth="1"/>
    <col min="3331" max="3370" width="16.85546875" style="125" customWidth="1"/>
    <col min="3371" max="3372" width="18.5703125" style="125" customWidth="1"/>
    <col min="3373" max="3373" width="21.7109375" style="125" customWidth="1"/>
    <col min="3374" max="3584" width="9.140625" style="125"/>
    <col min="3585" max="3585" width="61.7109375" style="125" customWidth="1"/>
    <col min="3586" max="3586" width="18.5703125" style="125" customWidth="1"/>
    <col min="3587" max="3626" width="16.85546875" style="125" customWidth="1"/>
    <col min="3627" max="3628" width="18.5703125" style="125" customWidth="1"/>
    <col min="3629" max="3629" width="21.7109375" style="125" customWidth="1"/>
    <col min="3630" max="3840" width="9.140625" style="125"/>
    <col min="3841" max="3841" width="61.7109375" style="125" customWidth="1"/>
    <col min="3842" max="3842" width="18.5703125" style="125" customWidth="1"/>
    <col min="3843" max="3882" width="16.85546875" style="125" customWidth="1"/>
    <col min="3883" max="3884" width="18.5703125" style="125" customWidth="1"/>
    <col min="3885" max="3885" width="21.7109375" style="125" customWidth="1"/>
    <col min="3886" max="4096" width="9.140625" style="125"/>
    <col min="4097" max="4097" width="61.7109375" style="125" customWidth="1"/>
    <col min="4098" max="4098" width="18.5703125" style="125" customWidth="1"/>
    <col min="4099" max="4138" width="16.85546875" style="125" customWidth="1"/>
    <col min="4139" max="4140" width="18.5703125" style="125" customWidth="1"/>
    <col min="4141" max="4141" width="21.7109375" style="125" customWidth="1"/>
    <col min="4142" max="4352" width="9.140625" style="125"/>
    <col min="4353" max="4353" width="61.7109375" style="125" customWidth="1"/>
    <col min="4354" max="4354" width="18.5703125" style="125" customWidth="1"/>
    <col min="4355" max="4394" width="16.85546875" style="125" customWidth="1"/>
    <col min="4395" max="4396" width="18.5703125" style="125" customWidth="1"/>
    <col min="4397" max="4397" width="21.7109375" style="125" customWidth="1"/>
    <col min="4398" max="4608" width="9.140625" style="125"/>
    <col min="4609" max="4609" width="61.7109375" style="125" customWidth="1"/>
    <col min="4610" max="4610" width="18.5703125" style="125" customWidth="1"/>
    <col min="4611" max="4650" width="16.85546875" style="125" customWidth="1"/>
    <col min="4651" max="4652" width="18.5703125" style="125" customWidth="1"/>
    <col min="4653" max="4653" width="21.7109375" style="125" customWidth="1"/>
    <col min="4654" max="4864" width="9.140625" style="125"/>
    <col min="4865" max="4865" width="61.7109375" style="125" customWidth="1"/>
    <col min="4866" max="4866" width="18.5703125" style="125" customWidth="1"/>
    <col min="4867" max="4906" width="16.85546875" style="125" customWidth="1"/>
    <col min="4907" max="4908" width="18.5703125" style="125" customWidth="1"/>
    <col min="4909" max="4909" width="21.7109375" style="125" customWidth="1"/>
    <col min="4910" max="5120" width="9.140625" style="125"/>
    <col min="5121" max="5121" width="61.7109375" style="125" customWidth="1"/>
    <col min="5122" max="5122" width="18.5703125" style="125" customWidth="1"/>
    <col min="5123" max="5162" width="16.85546875" style="125" customWidth="1"/>
    <col min="5163" max="5164" width="18.5703125" style="125" customWidth="1"/>
    <col min="5165" max="5165" width="21.7109375" style="125" customWidth="1"/>
    <col min="5166" max="5376" width="9.140625" style="125"/>
    <col min="5377" max="5377" width="61.7109375" style="125" customWidth="1"/>
    <col min="5378" max="5378" width="18.5703125" style="125" customWidth="1"/>
    <col min="5379" max="5418" width="16.85546875" style="125" customWidth="1"/>
    <col min="5419" max="5420" width="18.5703125" style="125" customWidth="1"/>
    <col min="5421" max="5421" width="21.7109375" style="125" customWidth="1"/>
    <col min="5422" max="5632" width="9.140625" style="125"/>
    <col min="5633" max="5633" width="61.7109375" style="125" customWidth="1"/>
    <col min="5634" max="5634" width="18.5703125" style="125" customWidth="1"/>
    <col min="5635" max="5674" width="16.85546875" style="125" customWidth="1"/>
    <col min="5675" max="5676" width="18.5703125" style="125" customWidth="1"/>
    <col min="5677" max="5677" width="21.7109375" style="125" customWidth="1"/>
    <col min="5678" max="5888" width="9.140625" style="125"/>
    <col min="5889" max="5889" width="61.7109375" style="125" customWidth="1"/>
    <col min="5890" max="5890" width="18.5703125" style="125" customWidth="1"/>
    <col min="5891" max="5930" width="16.85546875" style="125" customWidth="1"/>
    <col min="5931" max="5932" width="18.5703125" style="125" customWidth="1"/>
    <col min="5933" max="5933" width="21.7109375" style="125" customWidth="1"/>
    <col min="5934" max="6144" width="9.140625" style="125"/>
    <col min="6145" max="6145" width="61.7109375" style="125" customWidth="1"/>
    <col min="6146" max="6146" width="18.5703125" style="125" customWidth="1"/>
    <col min="6147" max="6186" width="16.85546875" style="125" customWidth="1"/>
    <col min="6187" max="6188" width="18.5703125" style="125" customWidth="1"/>
    <col min="6189" max="6189" width="21.7109375" style="125" customWidth="1"/>
    <col min="6190" max="6400" width="9.140625" style="125"/>
    <col min="6401" max="6401" width="61.7109375" style="125" customWidth="1"/>
    <col min="6402" max="6402" width="18.5703125" style="125" customWidth="1"/>
    <col min="6403" max="6442" width="16.85546875" style="125" customWidth="1"/>
    <col min="6443" max="6444" width="18.5703125" style="125" customWidth="1"/>
    <col min="6445" max="6445" width="21.7109375" style="125" customWidth="1"/>
    <col min="6446" max="6656" width="9.140625" style="125"/>
    <col min="6657" max="6657" width="61.7109375" style="125" customWidth="1"/>
    <col min="6658" max="6658" width="18.5703125" style="125" customWidth="1"/>
    <col min="6659" max="6698" width="16.85546875" style="125" customWidth="1"/>
    <col min="6699" max="6700" width="18.5703125" style="125" customWidth="1"/>
    <col min="6701" max="6701" width="21.7109375" style="125" customWidth="1"/>
    <col min="6702" max="6912" width="9.140625" style="125"/>
    <col min="6913" max="6913" width="61.7109375" style="125" customWidth="1"/>
    <col min="6914" max="6914" width="18.5703125" style="125" customWidth="1"/>
    <col min="6915" max="6954" width="16.85546875" style="125" customWidth="1"/>
    <col min="6955" max="6956" width="18.5703125" style="125" customWidth="1"/>
    <col min="6957" max="6957" width="21.7109375" style="125" customWidth="1"/>
    <col min="6958" max="7168" width="9.140625" style="125"/>
    <col min="7169" max="7169" width="61.7109375" style="125" customWidth="1"/>
    <col min="7170" max="7170" width="18.5703125" style="125" customWidth="1"/>
    <col min="7171" max="7210" width="16.85546875" style="125" customWidth="1"/>
    <col min="7211" max="7212" width="18.5703125" style="125" customWidth="1"/>
    <col min="7213" max="7213" width="21.7109375" style="125" customWidth="1"/>
    <col min="7214" max="7424" width="9.140625" style="125"/>
    <col min="7425" max="7425" width="61.7109375" style="125" customWidth="1"/>
    <col min="7426" max="7426" width="18.5703125" style="125" customWidth="1"/>
    <col min="7427" max="7466" width="16.85546875" style="125" customWidth="1"/>
    <col min="7467" max="7468" width="18.5703125" style="125" customWidth="1"/>
    <col min="7469" max="7469" width="21.7109375" style="125" customWidth="1"/>
    <col min="7470" max="7680" width="9.140625" style="125"/>
    <col min="7681" max="7681" width="61.7109375" style="125" customWidth="1"/>
    <col min="7682" max="7682" width="18.5703125" style="125" customWidth="1"/>
    <col min="7683" max="7722" width="16.85546875" style="125" customWidth="1"/>
    <col min="7723" max="7724" width="18.5703125" style="125" customWidth="1"/>
    <col min="7725" max="7725" width="21.7109375" style="125" customWidth="1"/>
    <col min="7726" max="7936" width="9.140625" style="125"/>
    <col min="7937" max="7937" width="61.7109375" style="125" customWidth="1"/>
    <col min="7938" max="7938" width="18.5703125" style="125" customWidth="1"/>
    <col min="7939" max="7978" width="16.85546875" style="125" customWidth="1"/>
    <col min="7979" max="7980" width="18.5703125" style="125" customWidth="1"/>
    <col min="7981" max="7981" width="21.7109375" style="125" customWidth="1"/>
    <col min="7982" max="8192" width="9.140625" style="125"/>
    <col min="8193" max="8193" width="61.7109375" style="125" customWidth="1"/>
    <col min="8194" max="8194" width="18.5703125" style="125" customWidth="1"/>
    <col min="8195" max="8234" width="16.85546875" style="125" customWidth="1"/>
    <col min="8235" max="8236" width="18.5703125" style="125" customWidth="1"/>
    <col min="8237" max="8237" width="21.7109375" style="125" customWidth="1"/>
    <col min="8238" max="8448" width="9.140625" style="125"/>
    <col min="8449" max="8449" width="61.7109375" style="125" customWidth="1"/>
    <col min="8450" max="8450" width="18.5703125" style="125" customWidth="1"/>
    <col min="8451" max="8490" width="16.85546875" style="125" customWidth="1"/>
    <col min="8491" max="8492" width="18.5703125" style="125" customWidth="1"/>
    <col min="8493" max="8493" width="21.7109375" style="125" customWidth="1"/>
    <col min="8494" max="8704" width="9.140625" style="125"/>
    <col min="8705" max="8705" width="61.7109375" style="125" customWidth="1"/>
    <col min="8706" max="8706" width="18.5703125" style="125" customWidth="1"/>
    <col min="8707" max="8746" width="16.85546875" style="125" customWidth="1"/>
    <col min="8747" max="8748" width="18.5703125" style="125" customWidth="1"/>
    <col min="8749" max="8749" width="21.7109375" style="125" customWidth="1"/>
    <col min="8750" max="8960" width="9.140625" style="125"/>
    <col min="8961" max="8961" width="61.7109375" style="125" customWidth="1"/>
    <col min="8962" max="8962" width="18.5703125" style="125" customWidth="1"/>
    <col min="8963" max="9002" width="16.85546875" style="125" customWidth="1"/>
    <col min="9003" max="9004" width="18.5703125" style="125" customWidth="1"/>
    <col min="9005" max="9005" width="21.7109375" style="125" customWidth="1"/>
    <col min="9006" max="9216" width="9.140625" style="125"/>
    <col min="9217" max="9217" width="61.7109375" style="125" customWidth="1"/>
    <col min="9218" max="9218" width="18.5703125" style="125" customWidth="1"/>
    <col min="9219" max="9258" width="16.85546875" style="125" customWidth="1"/>
    <col min="9259" max="9260" width="18.5703125" style="125" customWidth="1"/>
    <col min="9261" max="9261" width="21.7109375" style="125" customWidth="1"/>
    <col min="9262" max="9472" width="9.140625" style="125"/>
    <col min="9473" max="9473" width="61.7109375" style="125" customWidth="1"/>
    <col min="9474" max="9474" width="18.5703125" style="125" customWidth="1"/>
    <col min="9475" max="9514" width="16.85546875" style="125" customWidth="1"/>
    <col min="9515" max="9516" width="18.5703125" style="125" customWidth="1"/>
    <col min="9517" max="9517" width="21.7109375" style="125" customWidth="1"/>
    <col min="9518" max="9728" width="9.140625" style="125"/>
    <col min="9729" max="9729" width="61.7109375" style="125" customWidth="1"/>
    <col min="9730" max="9730" width="18.5703125" style="125" customWidth="1"/>
    <col min="9731" max="9770" width="16.85546875" style="125" customWidth="1"/>
    <col min="9771" max="9772" width="18.5703125" style="125" customWidth="1"/>
    <col min="9773" max="9773" width="21.7109375" style="125" customWidth="1"/>
    <col min="9774" max="9984" width="9.140625" style="125"/>
    <col min="9985" max="9985" width="61.7109375" style="125" customWidth="1"/>
    <col min="9986" max="9986" width="18.5703125" style="125" customWidth="1"/>
    <col min="9987" max="10026" width="16.85546875" style="125" customWidth="1"/>
    <col min="10027" max="10028" width="18.5703125" style="125" customWidth="1"/>
    <col min="10029" max="10029" width="21.7109375" style="125" customWidth="1"/>
    <col min="10030" max="10240" width="9.140625" style="125"/>
    <col min="10241" max="10241" width="61.7109375" style="125" customWidth="1"/>
    <col min="10242" max="10242" width="18.5703125" style="125" customWidth="1"/>
    <col min="10243" max="10282" width="16.85546875" style="125" customWidth="1"/>
    <col min="10283" max="10284" width="18.5703125" style="125" customWidth="1"/>
    <col min="10285" max="10285" width="21.7109375" style="125" customWidth="1"/>
    <col min="10286" max="10496" width="9.140625" style="125"/>
    <col min="10497" max="10497" width="61.7109375" style="125" customWidth="1"/>
    <col min="10498" max="10498" width="18.5703125" style="125" customWidth="1"/>
    <col min="10499" max="10538" width="16.85546875" style="125" customWidth="1"/>
    <col min="10539" max="10540" width="18.5703125" style="125" customWidth="1"/>
    <col min="10541" max="10541" width="21.7109375" style="125" customWidth="1"/>
    <col min="10542" max="10752" width="9.140625" style="125"/>
    <col min="10753" max="10753" width="61.7109375" style="125" customWidth="1"/>
    <col min="10754" max="10754" width="18.5703125" style="125" customWidth="1"/>
    <col min="10755" max="10794" width="16.85546875" style="125" customWidth="1"/>
    <col min="10795" max="10796" width="18.5703125" style="125" customWidth="1"/>
    <col min="10797" max="10797" width="21.7109375" style="125" customWidth="1"/>
    <col min="10798" max="11008" width="9.140625" style="125"/>
    <col min="11009" max="11009" width="61.7109375" style="125" customWidth="1"/>
    <col min="11010" max="11010" width="18.5703125" style="125" customWidth="1"/>
    <col min="11011" max="11050" width="16.85546875" style="125" customWidth="1"/>
    <col min="11051" max="11052" width="18.5703125" style="125" customWidth="1"/>
    <col min="11053" max="11053" width="21.7109375" style="125" customWidth="1"/>
    <col min="11054" max="11264" width="9.140625" style="125"/>
    <col min="11265" max="11265" width="61.7109375" style="125" customWidth="1"/>
    <col min="11266" max="11266" width="18.5703125" style="125" customWidth="1"/>
    <col min="11267" max="11306" width="16.85546875" style="125" customWidth="1"/>
    <col min="11307" max="11308" width="18.5703125" style="125" customWidth="1"/>
    <col min="11309" max="11309" width="21.7109375" style="125" customWidth="1"/>
    <col min="11310" max="11520" width="9.140625" style="125"/>
    <col min="11521" max="11521" width="61.7109375" style="125" customWidth="1"/>
    <col min="11522" max="11522" width="18.5703125" style="125" customWidth="1"/>
    <col min="11523" max="11562" width="16.85546875" style="125" customWidth="1"/>
    <col min="11563" max="11564" width="18.5703125" style="125" customWidth="1"/>
    <col min="11565" max="11565" width="21.7109375" style="125" customWidth="1"/>
    <col min="11566" max="11776" width="9.140625" style="125"/>
    <col min="11777" max="11777" width="61.7109375" style="125" customWidth="1"/>
    <col min="11778" max="11778" width="18.5703125" style="125" customWidth="1"/>
    <col min="11779" max="11818" width="16.85546875" style="125" customWidth="1"/>
    <col min="11819" max="11820" width="18.5703125" style="125" customWidth="1"/>
    <col min="11821" max="11821" width="21.7109375" style="125" customWidth="1"/>
    <col min="11822" max="12032" width="9.140625" style="125"/>
    <col min="12033" max="12033" width="61.7109375" style="125" customWidth="1"/>
    <col min="12034" max="12034" width="18.5703125" style="125" customWidth="1"/>
    <col min="12035" max="12074" width="16.85546875" style="125" customWidth="1"/>
    <col min="12075" max="12076" width="18.5703125" style="125" customWidth="1"/>
    <col min="12077" max="12077" width="21.7109375" style="125" customWidth="1"/>
    <col min="12078" max="12288" width="9.140625" style="125"/>
    <col min="12289" max="12289" width="61.7109375" style="125" customWidth="1"/>
    <col min="12290" max="12290" width="18.5703125" style="125" customWidth="1"/>
    <col min="12291" max="12330" width="16.85546875" style="125" customWidth="1"/>
    <col min="12331" max="12332" width="18.5703125" style="125" customWidth="1"/>
    <col min="12333" max="12333" width="21.7109375" style="125" customWidth="1"/>
    <col min="12334" max="12544" width="9.140625" style="125"/>
    <col min="12545" max="12545" width="61.7109375" style="125" customWidth="1"/>
    <col min="12546" max="12546" width="18.5703125" style="125" customWidth="1"/>
    <col min="12547" max="12586" width="16.85546875" style="125" customWidth="1"/>
    <col min="12587" max="12588" width="18.5703125" style="125" customWidth="1"/>
    <col min="12589" max="12589" width="21.7109375" style="125" customWidth="1"/>
    <col min="12590" max="12800" width="9.140625" style="125"/>
    <col min="12801" max="12801" width="61.7109375" style="125" customWidth="1"/>
    <col min="12802" max="12802" width="18.5703125" style="125" customWidth="1"/>
    <col min="12803" max="12842" width="16.85546875" style="125" customWidth="1"/>
    <col min="12843" max="12844" width="18.5703125" style="125" customWidth="1"/>
    <col min="12845" max="12845" width="21.7109375" style="125" customWidth="1"/>
    <col min="12846" max="13056" width="9.140625" style="125"/>
    <col min="13057" max="13057" width="61.7109375" style="125" customWidth="1"/>
    <col min="13058" max="13058" width="18.5703125" style="125" customWidth="1"/>
    <col min="13059" max="13098" width="16.85546875" style="125" customWidth="1"/>
    <col min="13099" max="13100" width="18.5703125" style="125" customWidth="1"/>
    <col min="13101" max="13101" width="21.7109375" style="125" customWidth="1"/>
    <col min="13102" max="13312" width="9.140625" style="125"/>
    <col min="13313" max="13313" width="61.7109375" style="125" customWidth="1"/>
    <col min="13314" max="13314" width="18.5703125" style="125" customWidth="1"/>
    <col min="13315" max="13354" width="16.85546875" style="125" customWidth="1"/>
    <col min="13355" max="13356" width="18.5703125" style="125" customWidth="1"/>
    <col min="13357" max="13357" width="21.7109375" style="125" customWidth="1"/>
    <col min="13358" max="13568" width="9.140625" style="125"/>
    <col min="13569" max="13569" width="61.7109375" style="125" customWidth="1"/>
    <col min="13570" max="13570" width="18.5703125" style="125" customWidth="1"/>
    <col min="13571" max="13610" width="16.85546875" style="125" customWidth="1"/>
    <col min="13611" max="13612" width="18.5703125" style="125" customWidth="1"/>
    <col min="13613" max="13613" width="21.7109375" style="125" customWidth="1"/>
    <col min="13614" max="13824" width="9.140625" style="125"/>
    <col min="13825" max="13825" width="61.7109375" style="125" customWidth="1"/>
    <col min="13826" max="13826" width="18.5703125" style="125" customWidth="1"/>
    <col min="13827" max="13866" width="16.85546875" style="125" customWidth="1"/>
    <col min="13867" max="13868" width="18.5703125" style="125" customWidth="1"/>
    <col min="13869" max="13869" width="21.7109375" style="125" customWidth="1"/>
    <col min="13870" max="14080" width="9.140625" style="125"/>
    <col min="14081" max="14081" width="61.7109375" style="125" customWidth="1"/>
    <col min="14082" max="14082" width="18.5703125" style="125" customWidth="1"/>
    <col min="14083" max="14122" width="16.85546875" style="125" customWidth="1"/>
    <col min="14123" max="14124" width="18.5703125" style="125" customWidth="1"/>
    <col min="14125" max="14125" width="21.7109375" style="125" customWidth="1"/>
    <col min="14126" max="14336" width="9.140625" style="125"/>
    <col min="14337" max="14337" width="61.7109375" style="125" customWidth="1"/>
    <col min="14338" max="14338" width="18.5703125" style="125" customWidth="1"/>
    <col min="14339" max="14378" width="16.85546875" style="125" customWidth="1"/>
    <col min="14379" max="14380" width="18.5703125" style="125" customWidth="1"/>
    <col min="14381" max="14381" width="21.7109375" style="125" customWidth="1"/>
    <col min="14382" max="14592" width="9.140625" style="125"/>
    <col min="14593" max="14593" width="61.7109375" style="125" customWidth="1"/>
    <col min="14594" max="14594" width="18.5703125" style="125" customWidth="1"/>
    <col min="14595" max="14634" width="16.85546875" style="125" customWidth="1"/>
    <col min="14635" max="14636" width="18.5703125" style="125" customWidth="1"/>
    <col min="14637" max="14637" width="21.7109375" style="125" customWidth="1"/>
    <col min="14638" max="14848" width="9.140625" style="125"/>
    <col min="14849" max="14849" width="61.7109375" style="125" customWidth="1"/>
    <col min="14850" max="14850" width="18.5703125" style="125" customWidth="1"/>
    <col min="14851" max="14890" width="16.85546875" style="125" customWidth="1"/>
    <col min="14891" max="14892" width="18.5703125" style="125" customWidth="1"/>
    <col min="14893" max="14893" width="21.7109375" style="125" customWidth="1"/>
    <col min="14894" max="15104" width="9.140625" style="125"/>
    <col min="15105" max="15105" width="61.7109375" style="125" customWidth="1"/>
    <col min="15106" max="15106" width="18.5703125" style="125" customWidth="1"/>
    <col min="15107" max="15146" width="16.85546875" style="125" customWidth="1"/>
    <col min="15147" max="15148" width="18.5703125" style="125" customWidth="1"/>
    <col min="15149" max="15149" width="21.7109375" style="125" customWidth="1"/>
    <col min="15150" max="15360" width="9.140625" style="125"/>
    <col min="15361" max="15361" width="61.7109375" style="125" customWidth="1"/>
    <col min="15362" max="15362" width="18.5703125" style="125" customWidth="1"/>
    <col min="15363" max="15402" width="16.85546875" style="125" customWidth="1"/>
    <col min="15403" max="15404" width="18.5703125" style="125" customWidth="1"/>
    <col min="15405" max="15405" width="21.7109375" style="125" customWidth="1"/>
    <col min="15406" max="15616" width="9.140625" style="125"/>
    <col min="15617" max="15617" width="61.7109375" style="125" customWidth="1"/>
    <col min="15618" max="15618" width="18.5703125" style="125" customWidth="1"/>
    <col min="15619" max="15658" width="16.85546875" style="125" customWidth="1"/>
    <col min="15659" max="15660" width="18.5703125" style="125" customWidth="1"/>
    <col min="15661" max="15661" width="21.7109375" style="125" customWidth="1"/>
    <col min="15662" max="15872" width="9.140625" style="125"/>
    <col min="15873" max="15873" width="61.7109375" style="125" customWidth="1"/>
    <col min="15874" max="15874" width="18.5703125" style="125" customWidth="1"/>
    <col min="15875" max="15914" width="16.85546875" style="125" customWidth="1"/>
    <col min="15915" max="15916" width="18.5703125" style="125" customWidth="1"/>
    <col min="15917" max="15917" width="21.7109375" style="125" customWidth="1"/>
    <col min="15918" max="16128" width="9.140625" style="125"/>
    <col min="16129" max="16129" width="61.7109375" style="125" customWidth="1"/>
    <col min="16130" max="16130" width="18.5703125" style="125" customWidth="1"/>
    <col min="16131" max="16170" width="16.85546875" style="125" customWidth="1"/>
    <col min="16171" max="16172" width="18.5703125" style="125" customWidth="1"/>
    <col min="16173" max="16173" width="21.7109375" style="125" customWidth="1"/>
    <col min="16174" max="16384" width="9.140625" style="125"/>
  </cols>
  <sheetData>
    <row r="1" spans="1:44" ht="18.75" x14ac:dyDescent="0.2">
      <c r="A1" s="17"/>
      <c r="B1" s="11"/>
      <c r="C1" s="11"/>
      <c r="D1" s="11"/>
      <c r="G1" s="11"/>
      <c r="H1" s="32" t="s">
        <v>65</v>
      </c>
      <c r="I1" s="15"/>
      <c r="J1" s="15"/>
      <c r="K1" s="32"/>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5"/>
      <c r="F2" s="12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6"/>
      <c r="AR2" s="126"/>
    </row>
    <row r="3" spans="1:44" ht="18.75" x14ac:dyDescent="0.3">
      <c r="A3" s="16"/>
      <c r="B3" s="11"/>
      <c r="C3" s="11"/>
      <c r="D3" s="11"/>
      <c r="E3" s="125"/>
      <c r="F3" s="125"/>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6"/>
      <c r="AR3" s="12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7"/>
      <c r="AR4" s="127"/>
    </row>
    <row r="5" spans="1:44" ht="18.75" x14ac:dyDescent="0.2">
      <c r="A5" s="454" t="str">
        <f>'1. паспорт местоположение'!A5:C5</f>
        <v>Год раскрытия информации: 2025 год</v>
      </c>
      <c r="B5" s="454"/>
      <c r="C5" s="454"/>
      <c r="D5" s="454"/>
      <c r="E5" s="454"/>
      <c r="F5" s="454"/>
      <c r="G5" s="454"/>
      <c r="H5" s="454"/>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9"/>
      <c r="AR5" s="12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7"/>
      <c r="AR6" s="127"/>
    </row>
    <row r="7" spans="1:44" ht="18.75" x14ac:dyDescent="0.2">
      <c r="A7" s="429" t="str">
        <f>'[2]1. паспорт местоположение'!A7:C7</f>
        <v xml:space="preserve">Паспорт инвестиционного проекта </v>
      </c>
      <c r="B7" s="429"/>
      <c r="C7" s="429"/>
      <c r="D7" s="429"/>
      <c r="E7" s="429"/>
      <c r="F7" s="429"/>
      <c r="G7" s="429"/>
      <c r="H7" s="42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30"/>
      <c r="AR7" s="130"/>
    </row>
    <row r="8" spans="1:44" ht="18.75" x14ac:dyDescent="0.2">
      <c r="A8" s="200"/>
      <c r="B8" s="200"/>
      <c r="C8" s="200"/>
      <c r="D8" s="200"/>
      <c r="E8" s="200"/>
      <c r="F8" s="200"/>
      <c r="G8" s="200"/>
      <c r="H8" s="200"/>
      <c r="I8" s="200"/>
      <c r="J8" s="200"/>
      <c r="K8" s="200"/>
      <c r="L8" s="109"/>
      <c r="M8" s="109"/>
      <c r="N8" s="109"/>
      <c r="O8" s="109"/>
      <c r="P8" s="109"/>
      <c r="Q8" s="109"/>
      <c r="R8" s="109"/>
      <c r="S8" s="109"/>
      <c r="T8" s="109"/>
      <c r="U8" s="109"/>
      <c r="V8" s="109"/>
      <c r="W8" s="109"/>
      <c r="X8" s="109"/>
      <c r="Y8" s="109"/>
      <c r="Z8" s="11"/>
      <c r="AA8" s="11"/>
      <c r="AB8" s="11"/>
      <c r="AC8" s="11"/>
      <c r="AD8" s="11"/>
      <c r="AE8" s="11"/>
      <c r="AF8" s="11"/>
      <c r="AG8" s="11"/>
      <c r="AH8" s="11"/>
      <c r="AI8" s="11"/>
      <c r="AJ8" s="11"/>
      <c r="AK8" s="11"/>
      <c r="AL8" s="11"/>
      <c r="AM8" s="11"/>
      <c r="AN8" s="11"/>
      <c r="AO8" s="11"/>
      <c r="AP8" s="11"/>
      <c r="AQ8" s="127"/>
      <c r="AR8" s="127"/>
    </row>
    <row r="9" spans="1:44" ht="18.75" x14ac:dyDescent="0.2">
      <c r="A9" s="454" t="str">
        <f>'1. паспорт местоположение'!A9:C9</f>
        <v>Акционерное общество "Россети Янтарь" ДЗО  ПАО "Россети"</v>
      </c>
      <c r="B9" s="454"/>
      <c r="C9" s="454"/>
      <c r="D9" s="454"/>
      <c r="E9" s="454"/>
      <c r="F9" s="454"/>
      <c r="G9" s="454"/>
      <c r="H9" s="454"/>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31"/>
      <c r="AR9" s="131"/>
    </row>
    <row r="10" spans="1:44" x14ac:dyDescent="0.2">
      <c r="A10" s="434" t="s">
        <v>5</v>
      </c>
      <c r="B10" s="434"/>
      <c r="C10" s="434"/>
      <c r="D10" s="434"/>
      <c r="E10" s="434"/>
      <c r="F10" s="434"/>
      <c r="G10" s="434"/>
      <c r="H10" s="434"/>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32"/>
      <c r="AR10" s="132"/>
    </row>
    <row r="11" spans="1:44" ht="18.75" x14ac:dyDescent="0.2">
      <c r="A11" s="200"/>
      <c r="B11" s="200"/>
      <c r="C11" s="200"/>
      <c r="D11" s="200"/>
      <c r="E11" s="200"/>
      <c r="F11" s="200"/>
      <c r="G11" s="200"/>
      <c r="H11" s="200"/>
      <c r="I11" s="200"/>
      <c r="J11" s="200"/>
      <c r="K11" s="200"/>
      <c r="L11" s="109"/>
      <c r="M11" s="109"/>
      <c r="N11" s="109"/>
      <c r="O11" s="109"/>
      <c r="P11" s="109"/>
      <c r="Q11" s="109"/>
      <c r="R11" s="109"/>
      <c r="S11" s="109"/>
      <c r="T11" s="109"/>
      <c r="U11" s="109"/>
      <c r="V11" s="109"/>
      <c r="W11" s="109"/>
      <c r="X11" s="109"/>
      <c r="Y11" s="109"/>
      <c r="Z11" s="11"/>
      <c r="AA11" s="11"/>
      <c r="AB11" s="11"/>
      <c r="AC11" s="11"/>
      <c r="AD11" s="11"/>
      <c r="AE11" s="11"/>
      <c r="AF11" s="11"/>
      <c r="AG11" s="11"/>
      <c r="AH11" s="11"/>
      <c r="AI11" s="11"/>
      <c r="AJ11" s="11"/>
      <c r="AK11" s="11"/>
      <c r="AL11" s="11"/>
      <c r="AM11" s="11"/>
      <c r="AN11" s="11"/>
      <c r="AO11" s="11"/>
      <c r="AP11" s="11"/>
      <c r="AQ11" s="127"/>
      <c r="AR11" s="127"/>
    </row>
    <row r="12" spans="1:44" ht="18.75" x14ac:dyDescent="0.2">
      <c r="A12" s="454" t="str">
        <f>'1. паспорт местоположение'!A12:C12</f>
        <v>N_18-0871</v>
      </c>
      <c r="B12" s="454"/>
      <c r="C12" s="454"/>
      <c r="D12" s="454"/>
      <c r="E12" s="454"/>
      <c r="F12" s="454"/>
      <c r="G12" s="454"/>
      <c r="H12" s="454"/>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31"/>
      <c r="AR12" s="131"/>
    </row>
    <row r="13" spans="1:44" x14ac:dyDescent="0.2">
      <c r="A13" s="434" t="s">
        <v>4</v>
      </c>
      <c r="B13" s="434"/>
      <c r="C13" s="434"/>
      <c r="D13" s="434"/>
      <c r="E13" s="434"/>
      <c r="F13" s="434"/>
      <c r="G13" s="434"/>
      <c r="H13" s="434"/>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32"/>
      <c r="AR13" s="132"/>
    </row>
    <row r="14" spans="1:44" ht="18.75" x14ac:dyDescent="0.2">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8"/>
      <c r="AA14" s="8"/>
      <c r="AB14" s="8"/>
      <c r="AC14" s="8"/>
      <c r="AD14" s="8"/>
      <c r="AE14" s="8"/>
      <c r="AF14" s="8"/>
      <c r="AG14" s="8"/>
      <c r="AH14" s="8"/>
      <c r="AI14" s="8"/>
      <c r="AJ14" s="8"/>
      <c r="AK14" s="8"/>
      <c r="AL14" s="8"/>
      <c r="AM14" s="8"/>
      <c r="AN14" s="8"/>
      <c r="AO14" s="8"/>
      <c r="AP14" s="8"/>
      <c r="AQ14" s="133"/>
      <c r="AR14" s="133"/>
    </row>
    <row r="15" spans="1:44" ht="81.75" customHeight="1" x14ac:dyDescent="0.2">
      <c r="A15" s="484" t="str">
        <f>'1. паспорт местоположение'!A15:C15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84"/>
      <c r="C15" s="484"/>
      <c r="D15" s="484"/>
      <c r="E15" s="484"/>
      <c r="F15" s="484"/>
      <c r="G15" s="484"/>
      <c r="H15" s="484"/>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31"/>
      <c r="AR15" s="131"/>
    </row>
    <row r="16" spans="1:44" x14ac:dyDescent="0.2">
      <c r="A16" s="434" t="s">
        <v>3</v>
      </c>
      <c r="B16" s="434"/>
      <c r="C16" s="434"/>
      <c r="D16" s="434"/>
      <c r="E16" s="434"/>
      <c r="F16" s="434"/>
      <c r="G16" s="434"/>
      <c r="H16" s="434"/>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32"/>
      <c r="AR16" s="132"/>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134"/>
      <c r="AR17" s="134"/>
    </row>
    <row r="18" spans="1:44" ht="18.75" x14ac:dyDescent="0.2">
      <c r="A18" s="454" t="s">
        <v>444</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5"/>
      <c r="AR18" s="135"/>
    </row>
    <row r="19" spans="1:44" x14ac:dyDescent="0.2">
      <c r="A19" s="136"/>
      <c r="Q19" s="137"/>
    </row>
    <row r="20" spans="1:44" x14ac:dyDescent="0.2">
      <c r="A20" s="136"/>
      <c r="Q20" s="137"/>
    </row>
    <row r="21" spans="1:44" x14ac:dyDescent="0.2">
      <c r="A21" s="136"/>
      <c r="Q21" s="137"/>
    </row>
    <row r="22" spans="1:44" x14ac:dyDescent="0.2">
      <c r="A22" s="136"/>
      <c r="Q22" s="137"/>
    </row>
    <row r="23" spans="1:44" x14ac:dyDescent="0.2">
      <c r="D23" s="139"/>
      <c r="Q23" s="137"/>
    </row>
    <row r="24" spans="1:44" ht="16.5" thickBot="1" x14ac:dyDescent="0.25">
      <c r="A24" s="140" t="s">
        <v>303</v>
      </c>
      <c r="B24" s="141" t="s">
        <v>0</v>
      </c>
      <c r="D24" s="142"/>
      <c r="E24" s="143"/>
      <c r="F24" s="143"/>
      <c r="G24" s="143"/>
      <c r="H24" s="143"/>
    </row>
    <row r="25" spans="1:44" x14ac:dyDescent="0.2">
      <c r="A25" s="144" t="s">
        <v>480</v>
      </c>
      <c r="B25" s="145">
        <f>'6.2. Паспорт фин осв ввод'!C30*1000000</f>
        <v>12415483.040000001</v>
      </c>
    </row>
    <row r="26" spans="1:44" x14ac:dyDescent="0.2">
      <c r="A26" s="146" t="s">
        <v>301</v>
      </c>
      <c r="B26" s="147">
        <v>0</v>
      </c>
    </row>
    <row r="27" spans="1:44" x14ac:dyDescent="0.2">
      <c r="A27" s="146" t="s">
        <v>299</v>
      </c>
      <c r="B27" s="147">
        <v>30</v>
      </c>
      <c r="D27" s="139" t="s">
        <v>302</v>
      </c>
    </row>
    <row r="28" spans="1:44" ht="16.149999999999999" customHeight="1" thickBot="1" x14ac:dyDescent="0.25">
      <c r="A28" s="148" t="s">
        <v>297</v>
      </c>
      <c r="B28" s="149">
        <v>1</v>
      </c>
      <c r="D28" s="485" t="s">
        <v>300</v>
      </c>
      <c r="E28" s="486"/>
      <c r="F28" s="487"/>
      <c r="G28" s="488">
        <f>IF(SUM(B89:L89)=0,"не окупается",SUM(B89:L89))</f>
        <v>5.0120312511352765</v>
      </c>
      <c r="H28" s="489"/>
    </row>
    <row r="29" spans="1:44" ht="15.6" customHeight="1" x14ac:dyDescent="0.2">
      <c r="A29" s="144" t="s">
        <v>295</v>
      </c>
      <c r="B29" s="145">
        <f>B25*0.01</f>
        <v>124154.83040000001</v>
      </c>
      <c r="D29" s="485" t="s">
        <v>298</v>
      </c>
      <c r="E29" s="486"/>
      <c r="F29" s="487"/>
      <c r="G29" s="488">
        <f>IF(SUM(B90:L90)=0,"не окупается",SUM(B90:L90))</f>
        <v>5.0195071855748639</v>
      </c>
      <c r="H29" s="489"/>
    </row>
    <row r="30" spans="1:44" ht="27.6" customHeight="1" x14ac:dyDescent="0.2">
      <c r="A30" s="146" t="s">
        <v>481</v>
      </c>
      <c r="B30" s="147">
        <v>6</v>
      </c>
      <c r="D30" s="485" t="s">
        <v>296</v>
      </c>
      <c r="E30" s="486"/>
      <c r="F30" s="487"/>
      <c r="G30" s="490">
        <f>M87</f>
        <v>491497295.39609814</v>
      </c>
      <c r="H30" s="491"/>
    </row>
    <row r="31" spans="1:44" x14ac:dyDescent="0.2">
      <c r="A31" s="146" t="s">
        <v>294</v>
      </c>
      <c r="B31" s="147">
        <v>6</v>
      </c>
      <c r="D31" s="492"/>
      <c r="E31" s="493"/>
      <c r="F31" s="494"/>
      <c r="G31" s="492"/>
      <c r="H31" s="494"/>
    </row>
    <row r="32" spans="1:44" x14ac:dyDescent="0.2">
      <c r="A32" s="146" t="s">
        <v>272</v>
      </c>
      <c r="B32" s="147"/>
    </row>
    <row r="33" spans="1:33" x14ac:dyDescent="0.2">
      <c r="A33" s="146" t="s">
        <v>293</v>
      </c>
      <c r="B33" s="147"/>
    </row>
    <row r="34" spans="1:33" x14ac:dyDescent="0.2">
      <c r="A34" s="146" t="s">
        <v>292</v>
      </c>
      <c r="B34" s="147"/>
    </row>
    <row r="35" spans="1:33" x14ac:dyDescent="0.2">
      <c r="A35" s="150"/>
      <c r="B35" s="147"/>
    </row>
    <row r="36" spans="1:33" ht="16.5" thickBot="1" x14ac:dyDescent="0.25">
      <c r="A36" s="148" t="s">
        <v>264</v>
      </c>
      <c r="B36" s="151">
        <v>0.2</v>
      </c>
    </row>
    <row r="37" spans="1:33" x14ac:dyDescent="0.2">
      <c r="A37" s="144" t="s">
        <v>482</v>
      </c>
      <c r="B37" s="145">
        <v>0</v>
      </c>
    </row>
    <row r="38" spans="1:33" x14ac:dyDescent="0.2">
      <c r="A38" s="146" t="s">
        <v>291</v>
      </c>
      <c r="B38" s="147"/>
    </row>
    <row r="39" spans="1:33" ht="16.5" thickBot="1" x14ac:dyDescent="0.25">
      <c r="A39" s="152" t="s">
        <v>290</v>
      </c>
      <c r="B39" s="153"/>
    </row>
    <row r="40" spans="1:33" x14ac:dyDescent="0.2">
      <c r="A40" s="154" t="s">
        <v>483</v>
      </c>
      <c r="B40" s="155">
        <v>1</v>
      </c>
    </row>
    <row r="41" spans="1:33" x14ac:dyDescent="0.2">
      <c r="A41" s="156" t="s">
        <v>289</v>
      </c>
      <c r="B41" s="157"/>
    </row>
    <row r="42" spans="1:33" x14ac:dyDescent="0.2">
      <c r="A42" s="156" t="s">
        <v>288</v>
      </c>
      <c r="B42" s="158"/>
    </row>
    <row r="43" spans="1:33" x14ac:dyDescent="0.2">
      <c r="A43" s="156" t="s">
        <v>287</v>
      </c>
      <c r="B43" s="158">
        <v>0</v>
      </c>
    </row>
    <row r="44" spans="1:33" x14ac:dyDescent="0.2">
      <c r="A44" s="156" t="s">
        <v>286</v>
      </c>
      <c r="B44" s="158">
        <v>0.1197</v>
      </c>
    </row>
    <row r="45" spans="1:33" x14ac:dyDescent="0.2">
      <c r="A45" s="156" t="s">
        <v>285</v>
      </c>
      <c r="B45" s="158">
        <f>1-B43</f>
        <v>1</v>
      </c>
    </row>
    <row r="46" spans="1:33" ht="16.5" thickBot="1" x14ac:dyDescent="0.25">
      <c r="A46" s="159" t="s">
        <v>284</v>
      </c>
      <c r="B46" s="386">
        <f>B45*B44+B43*B42*(1-B36)</f>
        <v>0.1197</v>
      </c>
      <c r="C46" s="160"/>
    </row>
    <row r="47" spans="1:33" s="163" customFormat="1" x14ac:dyDescent="0.2">
      <c r="A47" s="161" t="s">
        <v>283</v>
      </c>
      <c r="B47" s="162">
        <f>B58</f>
        <v>1</v>
      </c>
      <c r="C47" s="162">
        <f t="shared" ref="C47:AG47" si="0">C58</f>
        <v>2</v>
      </c>
      <c r="D47" s="162">
        <f t="shared" si="0"/>
        <v>3</v>
      </c>
      <c r="E47" s="162">
        <f t="shared" si="0"/>
        <v>4</v>
      </c>
      <c r="F47" s="162">
        <f t="shared" si="0"/>
        <v>5</v>
      </c>
      <c r="G47" s="162">
        <f t="shared" si="0"/>
        <v>6</v>
      </c>
      <c r="H47" s="162">
        <f t="shared" si="0"/>
        <v>7</v>
      </c>
      <c r="I47" s="162">
        <f t="shared" si="0"/>
        <v>8</v>
      </c>
      <c r="J47" s="162">
        <f t="shared" si="0"/>
        <v>9</v>
      </c>
      <c r="K47" s="162">
        <f t="shared" si="0"/>
        <v>10</v>
      </c>
      <c r="L47" s="162">
        <f t="shared" si="0"/>
        <v>11</v>
      </c>
      <c r="M47" s="162">
        <f t="shared" si="0"/>
        <v>12</v>
      </c>
      <c r="N47" s="162">
        <f t="shared" si="0"/>
        <v>13</v>
      </c>
      <c r="O47" s="162">
        <f t="shared" si="0"/>
        <v>14</v>
      </c>
      <c r="P47" s="162">
        <f t="shared" si="0"/>
        <v>15</v>
      </c>
      <c r="Q47" s="162">
        <f t="shared" si="0"/>
        <v>16</v>
      </c>
      <c r="R47" s="162">
        <f t="shared" si="0"/>
        <v>17</v>
      </c>
      <c r="S47" s="162">
        <f t="shared" si="0"/>
        <v>18</v>
      </c>
      <c r="T47" s="162">
        <f t="shared" si="0"/>
        <v>19</v>
      </c>
      <c r="U47" s="162">
        <f t="shared" si="0"/>
        <v>20</v>
      </c>
      <c r="V47" s="162">
        <f t="shared" si="0"/>
        <v>21</v>
      </c>
      <c r="W47" s="162">
        <f t="shared" si="0"/>
        <v>22</v>
      </c>
      <c r="X47" s="162">
        <f t="shared" si="0"/>
        <v>23</v>
      </c>
      <c r="Y47" s="162">
        <f t="shared" si="0"/>
        <v>24</v>
      </c>
      <c r="Z47" s="162">
        <f t="shared" si="0"/>
        <v>25</v>
      </c>
      <c r="AA47" s="162">
        <f t="shared" si="0"/>
        <v>26</v>
      </c>
      <c r="AB47" s="162">
        <f t="shared" si="0"/>
        <v>27</v>
      </c>
      <c r="AC47" s="162">
        <f t="shared" si="0"/>
        <v>28</v>
      </c>
      <c r="AD47" s="162">
        <f t="shared" si="0"/>
        <v>29</v>
      </c>
      <c r="AE47" s="162">
        <f t="shared" si="0"/>
        <v>30</v>
      </c>
      <c r="AF47" s="162">
        <f t="shared" si="0"/>
        <v>31</v>
      </c>
      <c r="AG47" s="162">
        <f t="shared" si="0"/>
        <v>32</v>
      </c>
    </row>
    <row r="48" spans="1:33" s="163" customFormat="1" x14ac:dyDescent="0.2">
      <c r="A48" s="164" t="s">
        <v>282</v>
      </c>
      <c r="B48" s="203">
        <f>C129</f>
        <v>9.1135032622053413E-2</v>
      </c>
      <c r="C48" s="203">
        <f t="shared" ref="C48:AG48" si="1">D129</f>
        <v>7.8163170639641913E-2</v>
      </c>
      <c r="D48" s="203">
        <f t="shared" si="1"/>
        <v>5.2628968689616612E-2</v>
      </c>
      <c r="E48" s="203">
        <f t="shared" si="1"/>
        <v>4.4208979893394937E-2</v>
      </c>
      <c r="F48" s="203">
        <f t="shared" si="1"/>
        <v>4.4208979893394937E-2</v>
      </c>
      <c r="G48" s="203">
        <f t="shared" si="1"/>
        <v>4.4208979893394937E-2</v>
      </c>
      <c r="H48" s="203">
        <f t="shared" si="1"/>
        <v>4.4208979893394937E-2</v>
      </c>
      <c r="I48" s="203">
        <f t="shared" si="1"/>
        <v>4.4208979893394937E-2</v>
      </c>
      <c r="J48" s="203">
        <f t="shared" si="1"/>
        <v>4.4208979893394937E-2</v>
      </c>
      <c r="K48" s="203">
        <f t="shared" si="1"/>
        <v>4.4208979893394937E-2</v>
      </c>
      <c r="L48" s="203">
        <f t="shared" si="1"/>
        <v>4.4208979893394937E-2</v>
      </c>
      <c r="M48" s="203">
        <f t="shared" si="1"/>
        <v>4.4208979893394937E-2</v>
      </c>
      <c r="N48" s="203">
        <f t="shared" si="1"/>
        <v>4.4208979893394937E-2</v>
      </c>
      <c r="O48" s="203">
        <f t="shared" si="1"/>
        <v>4.4208979893394937E-2</v>
      </c>
      <c r="P48" s="203">
        <f t="shared" si="1"/>
        <v>4.4208979893394937E-2</v>
      </c>
      <c r="Q48" s="203">
        <f t="shared" si="1"/>
        <v>4.4208979893394937E-2</v>
      </c>
      <c r="R48" s="203">
        <f t="shared" si="1"/>
        <v>4.4208979893394937E-2</v>
      </c>
      <c r="S48" s="203">
        <f t="shared" si="1"/>
        <v>4.4208979893394937E-2</v>
      </c>
      <c r="T48" s="203">
        <f t="shared" si="1"/>
        <v>4.4208979893394937E-2</v>
      </c>
      <c r="U48" s="203">
        <f t="shared" si="1"/>
        <v>4.4208979893394937E-2</v>
      </c>
      <c r="V48" s="203">
        <f t="shared" si="1"/>
        <v>4.4208979893394937E-2</v>
      </c>
      <c r="W48" s="203">
        <f t="shared" si="1"/>
        <v>4.4208979893394937E-2</v>
      </c>
      <c r="X48" s="203">
        <f t="shared" si="1"/>
        <v>4.4208979893394937E-2</v>
      </c>
      <c r="Y48" s="203">
        <f t="shared" si="1"/>
        <v>4.4208979893394937E-2</v>
      </c>
      <c r="Z48" s="203">
        <f t="shared" si="1"/>
        <v>4.4208979893394937E-2</v>
      </c>
      <c r="AA48" s="203">
        <f t="shared" si="1"/>
        <v>4.4208979893394937E-2</v>
      </c>
      <c r="AB48" s="203">
        <f t="shared" si="1"/>
        <v>4.4208979893394937E-2</v>
      </c>
      <c r="AC48" s="203">
        <f t="shared" si="1"/>
        <v>4.4208979893394937E-2</v>
      </c>
      <c r="AD48" s="203">
        <f t="shared" si="1"/>
        <v>4.4208979893394937E-2</v>
      </c>
      <c r="AE48" s="203">
        <f t="shared" si="1"/>
        <v>4.4208979893394937E-2</v>
      </c>
      <c r="AF48" s="203">
        <f t="shared" si="1"/>
        <v>4.4208979893394937E-2</v>
      </c>
      <c r="AG48" s="203">
        <f t="shared" si="1"/>
        <v>4.4208979893394937E-2</v>
      </c>
    </row>
    <row r="49" spans="1:45" s="163" customFormat="1" x14ac:dyDescent="0.2">
      <c r="A49" s="164" t="s">
        <v>281</v>
      </c>
      <c r="B49" s="203">
        <f>C130</f>
        <v>9.1135032622053413E-2</v>
      </c>
      <c r="C49" s="203">
        <f t="shared" ref="C49:AG49" si="2">D130</f>
        <v>0.17642160636778237</v>
      </c>
      <c r="D49" s="203">
        <f t="shared" si="2"/>
        <v>0.23833546225510083</v>
      </c>
      <c r="E49" s="203">
        <f t="shared" si="2"/>
        <v>0.29308100980721452</v>
      </c>
      <c r="F49" s="203">
        <f t="shared" si="2"/>
        <v>0.35024680217031245</v>
      </c>
      <c r="G49" s="203">
        <f t="shared" si="2"/>
        <v>0.40993983589858063</v>
      </c>
      <c r="H49" s="203">
        <f t="shared" si="2"/>
        <v>0.47227183775471748</v>
      </c>
      <c r="I49" s="203">
        <f t="shared" si="2"/>
        <v>0.53735947382762728</v>
      </c>
      <c r="J49" s="203">
        <f t="shared" si="2"/>
        <v>0.605324567894993</v>
      </c>
      <c r="K49" s="203">
        <f t="shared" si="2"/>
        <v>0.67629432943943568</v>
      </c>
      <c r="L49" s="203">
        <f t="shared" si="2"/>
        <v>0.75040159174503551</v>
      </c>
      <c r="M49" s="203">
        <f t="shared" si="2"/>
        <v>0.82778506051985823</v>
      </c>
      <c r="N49" s="203">
        <f t="shared" si="2"/>
        <v>0.90858957350982816</v>
      </c>
      <c r="O49" s="203">
        <f t="shared" si="2"/>
        <v>0.99296637158986734</v>
      </c>
      <c r="P49" s="203">
        <f t="shared" si="2"/>
        <v>1.0810733818396958</v>
      </c>
      <c r="Q49" s="203">
        <f t="shared" si="2"/>
        <v>1.1730755131341262</v>
      </c>
      <c r="R49" s="203">
        <f t="shared" si="2"/>
        <v>1.2691449648011015</v>
      </c>
      <c r="S49" s="203">
        <f t="shared" si="2"/>
        <v>1.3694615489251918</v>
      </c>
      <c r="T49" s="203">
        <f t="shared" si="2"/>
        <v>1.4742130268997977</v>
      </c>
      <c r="U49" s="203">
        <f t="shared" si="2"/>
        <v>1.5835954608579867</v>
      </c>
      <c r="V49" s="203">
        <f t="shared" si="2"/>
        <v>1.6978135806397239</v>
      </c>
      <c r="W49" s="203">
        <f t="shared" si="2"/>
        <v>1.8170811669823532</v>
      </c>
      <c r="X49" s="203">
        <f t="shared" si="2"/>
        <v>1.9416214516515375</v>
      </c>
      <c r="Y49" s="203">
        <f t="shared" si="2"/>
        <v>2.0716675352615797</v>
      </c>
      <c r="Z49" s="203">
        <f t="shared" si="2"/>
        <v>2.2074628235671527</v>
      </c>
      <c r="AA49" s="203">
        <f t="shared" si="2"/>
        <v>2.3492614830430445</v>
      </c>
      <c r="AB49" s="203">
        <f t="shared" si="2"/>
        <v>2.4973289166046162</v>
      </c>
      <c r="AC49" s="203">
        <f t="shared" si="2"/>
        <v>2.6519422603593781</v>
      </c>
      <c r="AD49" s="203">
        <f t="shared" si="2"/>
        <v>2.813390902319445</v>
      </c>
      <c r="AE49" s="203">
        <f t="shared" si="2"/>
        <v>2.9819770240457402</v>
      </c>
      <c r="AF49" s="203">
        <f t="shared" si="2"/>
        <v>3.1580161662377391</v>
      </c>
      <c r="AG49" s="203">
        <f t="shared" si="2"/>
        <v>3.3418378193273544</v>
      </c>
    </row>
    <row r="50" spans="1:45" s="163" customFormat="1" ht="16.5" thickBot="1" x14ac:dyDescent="0.25">
      <c r="A50" s="165" t="s">
        <v>484</v>
      </c>
      <c r="B50" s="166">
        <f>IF($B$119="да",($B$121-0.05),0)</f>
        <v>0</v>
      </c>
      <c r="C50" s="166">
        <f>C101*(1+C49)</f>
        <v>0</v>
      </c>
      <c r="D50" s="166">
        <f>(D101+D102+D103)*(1+D49)</f>
        <v>0</v>
      </c>
      <c r="E50" s="166">
        <f t="shared" ref="E50:J50" si="3">(E101+E102+E103)*(1+E49)</f>
        <v>548619.48268682533</v>
      </c>
      <c r="F50" s="166">
        <f t="shared" si="3"/>
        <v>803005.24990198773</v>
      </c>
      <c r="G50" s="166">
        <f t="shared" si="3"/>
        <v>1160274971.5303988</v>
      </c>
      <c r="H50" s="166">
        <f t="shared" si="3"/>
        <v>1357574.9510440733</v>
      </c>
      <c r="I50" s="166">
        <f t="shared" si="3"/>
        <v>1417591.9547585573</v>
      </c>
      <c r="J50" s="166">
        <f t="shared" si="3"/>
        <v>1480262.2489835166</v>
      </c>
      <c r="K50" s="166">
        <f t="shared" ref="K50" si="4">(K101+K102+K103)*(1+K49)</f>
        <v>1545703.1329857805</v>
      </c>
      <c r="L50" s="166">
        <f t="shared" ref="L50" si="5">(L101+L102+L103)*(1+L49)</f>
        <v>1614037.0917131063</v>
      </c>
      <c r="M50" s="166">
        <f t="shared" ref="M50" si="6">(M101+M102+M103)*(1+M49)</f>
        <v>1685392.0250478445</v>
      </c>
      <c r="N50" s="166">
        <f t="shared" ref="N50" si="7">(N101+N102+N103)*(1+N49)</f>
        <v>1759901.4871956729</v>
      </c>
      <c r="O50" s="166">
        <f t="shared" ref="O50:P50" si="8">(O101+O102+O103)*(1+O49)</f>
        <v>1837704.936657462</v>
      </c>
      <c r="P50" s="166">
        <f t="shared" si="8"/>
        <v>1918947.9972521444</v>
      </c>
      <c r="Q50" s="166">
        <f t="shared" ref="Q50" si="9">(Q101+Q102+Q103)*(1+Q49)</f>
        <v>2003782.7306791346</v>
      </c>
      <c r="R50" s="166">
        <f t="shared" ref="R50" si="10">(R101+R102+R103)*(1+R49)</f>
        <v>2092367.9211304605</v>
      </c>
      <c r="S50" s="166">
        <f t="shared" ref="S50" si="11">(S101+S102+S103)*(1+S49)</f>
        <v>2184869.3724853015</v>
      </c>
      <c r="T50" s="166">
        <f t="shared" ref="T50" si="12">(T101+T102+T103)*(1+T49)</f>
        <v>2281460.2186431983</v>
      </c>
      <c r="U50" s="166">
        <f t="shared" ref="U50:V50" si="13">(U101+U102+U103)*(1+U49)</f>
        <v>2382321.247576776</v>
      </c>
      <c r="V50" s="166">
        <f t="shared" si="13"/>
        <v>2487641.2397105051</v>
      </c>
      <c r="W50" s="166">
        <f t="shared" ref="W50" si="14">(W101+W102+W103)*(1+W49)</f>
        <v>2597617.3212588471</v>
      </c>
      <c r="X50" s="166">
        <f t="shared" ref="X50" si="15">(X101+X102+X103)*(1+X49)</f>
        <v>2712455.3331851135</v>
      </c>
      <c r="Y50" s="166">
        <f t="shared" ref="Y50" si="16">(Y101+Y102+Y103)*(1+Y49)</f>
        <v>2832370.2164716264</v>
      </c>
      <c r="Z50" s="166">
        <f t="shared" ref="Z50" si="17">(Z101+Z102+Z103)*(1+Z49)</f>
        <v>2957586.4144222708</v>
      </c>
      <c r="AA50" s="166">
        <f t="shared" ref="AA50:AB50" si="18">(AA101+AA102+AA103)*(1+AA49)</f>
        <v>3088338.2927504429</v>
      </c>
      <c r="AB50" s="166">
        <f t="shared" si="18"/>
        <v>3224870.5782386488</v>
      </c>
      <c r="AC50" s="166">
        <f t="shared" ref="AC50" si="19">(AC101+AC102+AC103)*(1+AC49)</f>
        <v>3367438.8167908015</v>
      </c>
      <c r="AD50" s="166">
        <f t="shared" ref="AD50" si="20">(AD101+AD102+AD103)*(1+AD49)</f>
        <v>3516309.8517345437</v>
      </c>
      <c r="AE50" s="166">
        <f t="shared" ref="AE50" si="21">(AE101+AE102+AE103)*(1+AE49)</f>
        <v>3671762.3232688224</v>
      </c>
      <c r="AF50" s="166">
        <f t="shared" ref="AF50" si="22">(AF101+AF102+AF103)*(1+AF49)</f>
        <v>3834087.1899915389</v>
      </c>
      <c r="AG50" s="166">
        <f t="shared" ref="AG50" si="23">(AG101+AG102+AG103)*(1+AG49)</f>
        <v>4003588.2734833979</v>
      </c>
    </row>
    <row r="51" spans="1:45" ht="16.5" thickBot="1" x14ac:dyDescent="0.25">
      <c r="AH51" s="125"/>
      <c r="AI51" s="125"/>
      <c r="AJ51" s="125"/>
      <c r="AK51" s="125"/>
      <c r="AL51" s="125"/>
      <c r="AM51" s="125"/>
      <c r="AN51" s="125"/>
      <c r="AO51" s="125"/>
      <c r="AP51" s="125"/>
      <c r="AQ51" s="125"/>
      <c r="AR51" s="125"/>
      <c r="AS51" s="125"/>
    </row>
    <row r="52" spans="1:45" x14ac:dyDescent="0.2">
      <c r="A52" s="167" t="s">
        <v>280</v>
      </c>
      <c r="B52" s="168">
        <f>B58</f>
        <v>1</v>
      </c>
      <c r="C52" s="168">
        <f t="shared" ref="C52:AG52" si="24">C58</f>
        <v>2</v>
      </c>
      <c r="D52" s="168">
        <f t="shared" si="24"/>
        <v>3</v>
      </c>
      <c r="E52" s="168">
        <f t="shared" si="24"/>
        <v>4</v>
      </c>
      <c r="F52" s="168">
        <f t="shared" si="24"/>
        <v>5</v>
      </c>
      <c r="G52" s="168">
        <f t="shared" si="24"/>
        <v>6</v>
      </c>
      <c r="H52" s="168">
        <f t="shared" si="24"/>
        <v>7</v>
      </c>
      <c r="I52" s="168">
        <f t="shared" si="24"/>
        <v>8</v>
      </c>
      <c r="J52" s="168">
        <f t="shared" si="24"/>
        <v>9</v>
      </c>
      <c r="K52" s="168">
        <f t="shared" si="24"/>
        <v>10</v>
      </c>
      <c r="L52" s="168">
        <f t="shared" si="24"/>
        <v>11</v>
      </c>
      <c r="M52" s="168">
        <f t="shared" si="24"/>
        <v>12</v>
      </c>
      <c r="N52" s="168">
        <f t="shared" si="24"/>
        <v>13</v>
      </c>
      <c r="O52" s="168">
        <f t="shared" si="24"/>
        <v>14</v>
      </c>
      <c r="P52" s="168">
        <f t="shared" si="24"/>
        <v>15</v>
      </c>
      <c r="Q52" s="168">
        <f t="shared" si="24"/>
        <v>16</v>
      </c>
      <c r="R52" s="168">
        <f t="shared" si="24"/>
        <v>17</v>
      </c>
      <c r="S52" s="168">
        <f t="shared" si="24"/>
        <v>18</v>
      </c>
      <c r="T52" s="168">
        <f t="shared" si="24"/>
        <v>19</v>
      </c>
      <c r="U52" s="168">
        <f t="shared" si="24"/>
        <v>20</v>
      </c>
      <c r="V52" s="168">
        <f t="shared" si="24"/>
        <v>21</v>
      </c>
      <c r="W52" s="168">
        <f t="shared" si="24"/>
        <v>22</v>
      </c>
      <c r="X52" s="168">
        <f t="shared" si="24"/>
        <v>23</v>
      </c>
      <c r="Y52" s="168">
        <f t="shared" si="24"/>
        <v>24</v>
      </c>
      <c r="Z52" s="168">
        <f t="shared" si="24"/>
        <v>25</v>
      </c>
      <c r="AA52" s="168">
        <f t="shared" si="24"/>
        <v>26</v>
      </c>
      <c r="AB52" s="168">
        <f t="shared" si="24"/>
        <v>27</v>
      </c>
      <c r="AC52" s="168">
        <f t="shared" si="24"/>
        <v>28</v>
      </c>
      <c r="AD52" s="168">
        <f t="shared" si="24"/>
        <v>29</v>
      </c>
      <c r="AE52" s="168">
        <f t="shared" si="24"/>
        <v>30</v>
      </c>
      <c r="AF52" s="168">
        <f t="shared" si="24"/>
        <v>31</v>
      </c>
      <c r="AG52" s="168">
        <f t="shared" si="24"/>
        <v>32</v>
      </c>
      <c r="AH52" s="125"/>
      <c r="AI52" s="125"/>
      <c r="AJ52" s="125"/>
      <c r="AK52" s="125"/>
      <c r="AL52" s="125"/>
      <c r="AM52" s="125"/>
      <c r="AN52" s="125"/>
      <c r="AO52" s="125"/>
      <c r="AP52" s="125"/>
      <c r="AQ52" s="125"/>
      <c r="AR52" s="125"/>
      <c r="AS52" s="125"/>
    </row>
    <row r="53" spans="1:45" x14ac:dyDescent="0.2">
      <c r="A53" s="169" t="s">
        <v>279</v>
      </c>
      <c r="B53" s="204">
        <v>0</v>
      </c>
      <c r="C53" s="204">
        <f t="shared" ref="C53:AG53" si="25">B53+B54-B55</f>
        <v>0</v>
      </c>
      <c r="D53" s="204">
        <f t="shared" si="25"/>
        <v>0</v>
      </c>
      <c r="E53" s="204">
        <f t="shared" si="25"/>
        <v>0</v>
      </c>
      <c r="F53" s="204">
        <f t="shared" si="25"/>
        <v>0</v>
      </c>
      <c r="G53" s="204">
        <f t="shared" si="25"/>
        <v>0</v>
      </c>
      <c r="H53" s="204">
        <f t="shared" si="25"/>
        <v>0</v>
      </c>
      <c r="I53" s="204">
        <f t="shared" si="25"/>
        <v>0</v>
      </c>
      <c r="J53" s="204">
        <f t="shared" si="25"/>
        <v>0</v>
      </c>
      <c r="K53" s="204">
        <f t="shared" si="25"/>
        <v>0</v>
      </c>
      <c r="L53" s="204">
        <f t="shared" si="25"/>
        <v>0</v>
      </c>
      <c r="M53" s="204">
        <f t="shared" si="25"/>
        <v>0</v>
      </c>
      <c r="N53" s="204">
        <f t="shared" si="25"/>
        <v>0</v>
      </c>
      <c r="O53" s="204">
        <f t="shared" si="25"/>
        <v>0</v>
      </c>
      <c r="P53" s="204">
        <f t="shared" si="25"/>
        <v>0</v>
      </c>
      <c r="Q53" s="204">
        <f t="shared" si="25"/>
        <v>0</v>
      </c>
      <c r="R53" s="204">
        <f t="shared" si="25"/>
        <v>0</v>
      </c>
      <c r="S53" s="204">
        <f t="shared" si="25"/>
        <v>0</v>
      </c>
      <c r="T53" s="204">
        <f t="shared" si="25"/>
        <v>0</v>
      </c>
      <c r="U53" s="204">
        <f t="shared" si="25"/>
        <v>0</v>
      </c>
      <c r="V53" s="204">
        <f t="shared" si="25"/>
        <v>0</v>
      </c>
      <c r="W53" s="204">
        <f t="shared" si="25"/>
        <v>0</v>
      </c>
      <c r="X53" s="204">
        <f t="shared" si="25"/>
        <v>0</v>
      </c>
      <c r="Y53" s="204">
        <f t="shared" si="25"/>
        <v>0</v>
      </c>
      <c r="Z53" s="204">
        <f t="shared" si="25"/>
        <v>0</v>
      </c>
      <c r="AA53" s="204">
        <f t="shared" si="25"/>
        <v>0</v>
      </c>
      <c r="AB53" s="204">
        <f t="shared" si="25"/>
        <v>0</v>
      </c>
      <c r="AC53" s="204">
        <f t="shared" si="25"/>
        <v>0</v>
      </c>
      <c r="AD53" s="204">
        <f t="shared" si="25"/>
        <v>0</v>
      </c>
      <c r="AE53" s="204">
        <f t="shared" si="25"/>
        <v>0</v>
      </c>
      <c r="AF53" s="204">
        <f t="shared" si="25"/>
        <v>0</v>
      </c>
      <c r="AG53" s="204">
        <f t="shared" si="25"/>
        <v>0</v>
      </c>
      <c r="AH53" s="125"/>
      <c r="AI53" s="125"/>
      <c r="AJ53" s="125"/>
      <c r="AK53" s="125"/>
      <c r="AL53" s="125"/>
      <c r="AM53" s="125"/>
      <c r="AN53" s="125"/>
      <c r="AO53" s="125"/>
      <c r="AP53" s="125"/>
      <c r="AQ53" s="125"/>
      <c r="AR53" s="125"/>
      <c r="AS53" s="125"/>
    </row>
    <row r="54" spans="1:45" x14ac:dyDescent="0.2">
      <c r="A54" s="169" t="s">
        <v>278</v>
      </c>
      <c r="B54" s="204">
        <f>B25*B28*B43*1.18</f>
        <v>0</v>
      </c>
      <c r="C54" s="204">
        <v>0</v>
      </c>
      <c r="D54" s="204">
        <v>0</v>
      </c>
      <c r="E54" s="204">
        <v>0</v>
      </c>
      <c r="F54" s="204">
        <v>0</v>
      </c>
      <c r="G54" s="204">
        <v>0</v>
      </c>
      <c r="H54" s="204">
        <v>0</v>
      </c>
      <c r="I54" s="204">
        <v>0</v>
      </c>
      <c r="J54" s="204">
        <v>0</v>
      </c>
      <c r="K54" s="204">
        <v>0</v>
      </c>
      <c r="L54" s="204">
        <v>0</v>
      </c>
      <c r="M54" s="204">
        <v>0</v>
      </c>
      <c r="N54" s="204">
        <v>0</v>
      </c>
      <c r="O54" s="204">
        <v>0</v>
      </c>
      <c r="P54" s="204">
        <v>0</v>
      </c>
      <c r="Q54" s="204">
        <v>0</v>
      </c>
      <c r="R54" s="204">
        <v>0</v>
      </c>
      <c r="S54" s="204">
        <v>0</v>
      </c>
      <c r="T54" s="204">
        <v>0</v>
      </c>
      <c r="U54" s="204">
        <v>0</v>
      </c>
      <c r="V54" s="204">
        <v>0</v>
      </c>
      <c r="W54" s="204">
        <v>0</v>
      </c>
      <c r="X54" s="204">
        <v>0</v>
      </c>
      <c r="Y54" s="204">
        <v>0</v>
      </c>
      <c r="Z54" s="204">
        <v>0</v>
      </c>
      <c r="AA54" s="204">
        <v>0</v>
      </c>
      <c r="AB54" s="204">
        <v>0</v>
      </c>
      <c r="AC54" s="204">
        <v>0</v>
      </c>
      <c r="AD54" s="204">
        <v>0</v>
      </c>
      <c r="AE54" s="204">
        <v>0</v>
      </c>
      <c r="AF54" s="204">
        <v>0</v>
      </c>
      <c r="AG54" s="204">
        <v>0</v>
      </c>
      <c r="AH54" s="125"/>
      <c r="AI54" s="125"/>
      <c r="AJ54" s="125"/>
      <c r="AK54" s="125"/>
      <c r="AL54" s="125"/>
      <c r="AM54" s="125"/>
      <c r="AN54" s="125"/>
      <c r="AO54" s="125"/>
      <c r="AP54" s="125"/>
      <c r="AQ54" s="125"/>
      <c r="AR54" s="125"/>
      <c r="AS54" s="125"/>
    </row>
    <row r="55" spans="1:45" x14ac:dyDescent="0.2">
      <c r="A55" s="169" t="s">
        <v>277</v>
      </c>
      <c r="B55" s="204">
        <f>$B$54/$B$40</f>
        <v>0</v>
      </c>
      <c r="C55" s="204">
        <f t="shared" ref="C55:AG55" si="26">IF(ROUND(C53,1)=0,0,B55+C54/$B$40)</f>
        <v>0</v>
      </c>
      <c r="D55" s="204">
        <f t="shared" si="26"/>
        <v>0</v>
      </c>
      <c r="E55" s="204">
        <f t="shared" si="26"/>
        <v>0</v>
      </c>
      <c r="F55" s="204">
        <f t="shared" si="26"/>
        <v>0</v>
      </c>
      <c r="G55" s="204">
        <f t="shared" si="26"/>
        <v>0</v>
      </c>
      <c r="H55" s="204">
        <f t="shared" si="26"/>
        <v>0</v>
      </c>
      <c r="I55" s="204">
        <f t="shared" si="26"/>
        <v>0</v>
      </c>
      <c r="J55" s="204">
        <f t="shared" si="26"/>
        <v>0</v>
      </c>
      <c r="K55" s="204">
        <f t="shared" si="26"/>
        <v>0</v>
      </c>
      <c r="L55" s="204">
        <f t="shared" si="26"/>
        <v>0</v>
      </c>
      <c r="M55" s="204">
        <f t="shared" si="26"/>
        <v>0</v>
      </c>
      <c r="N55" s="204">
        <f t="shared" si="26"/>
        <v>0</v>
      </c>
      <c r="O55" s="204">
        <f t="shared" si="26"/>
        <v>0</v>
      </c>
      <c r="P55" s="204">
        <f t="shared" si="26"/>
        <v>0</v>
      </c>
      <c r="Q55" s="204">
        <f t="shared" si="26"/>
        <v>0</v>
      </c>
      <c r="R55" s="204">
        <f t="shared" si="26"/>
        <v>0</v>
      </c>
      <c r="S55" s="204">
        <f t="shared" si="26"/>
        <v>0</v>
      </c>
      <c r="T55" s="204">
        <f t="shared" si="26"/>
        <v>0</v>
      </c>
      <c r="U55" s="204">
        <f t="shared" si="26"/>
        <v>0</v>
      </c>
      <c r="V55" s="204">
        <f t="shared" si="26"/>
        <v>0</v>
      </c>
      <c r="W55" s="204">
        <f t="shared" si="26"/>
        <v>0</v>
      </c>
      <c r="X55" s="204">
        <f t="shared" si="26"/>
        <v>0</v>
      </c>
      <c r="Y55" s="204">
        <f t="shared" si="26"/>
        <v>0</v>
      </c>
      <c r="Z55" s="204">
        <f t="shared" si="26"/>
        <v>0</v>
      </c>
      <c r="AA55" s="204">
        <f t="shared" si="26"/>
        <v>0</v>
      </c>
      <c r="AB55" s="204">
        <f t="shared" si="26"/>
        <v>0</v>
      </c>
      <c r="AC55" s="204">
        <f t="shared" si="26"/>
        <v>0</v>
      </c>
      <c r="AD55" s="204">
        <f t="shared" si="26"/>
        <v>0</v>
      </c>
      <c r="AE55" s="204">
        <f t="shared" si="26"/>
        <v>0</v>
      </c>
      <c r="AF55" s="204">
        <f t="shared" si="26"/>
        <v>0</v>
      </c>
      <c r="AG55" s="204">
        <f t="shared" si="26"/>
        <v>0</v>
      </c>
      <c r="AH55" s="125"/>
      <c r="AI55" s="125"/>
      <c r="AJ55" s="125"/>
      <c r="AK55" s="125"/>
      <c r="AL55" s="125"/>
      <c r="AM55" s="125"/>
      <c r="AN55" s="125"/>
      <c r="AO55" s="125"/>
      <c r="AP55" s="125"/>
      <c r="AQ55" s="125"/>
      <c r="AR55" s="125"/>
      <c r="AS55" s="125"/>
    </row>
    <row r="56" spans="1:45" ht="16.5" thickBot="1" x14ac:dyDescent="0.25">
      <c r="A56" s="170" t="s">
        <v>276</v>
      </c>
      <c r="B56" s="171">
        <f t="shared" ref="B56:AG56" si="27">AVERAGE(SUM(B53:B54),(SUM(B53:B54)-B55))*$B$42</f>
        <v>0</v>
      </c>
      <c r="C56" s="171">
        <f t="shared" si="27"/>
        <v>0</v>
      </c>
      <c r="D56" s="171">
        <f t="shared" si="27"/>
        <v>0</v>
      </c>
      <c r="E56" s="171">
        <f t="shared" si="27"/>
        <v>0</v>
      </c>
      <c r="F56" s="171">
        <f t="shared" si="27"/>
        <v>0</v>
      </c>
      <c r="G56" s="171">
        <f t="shared" si="27"/>
        <v>0</v>
      </c>
      <c r="H56" s="171">
        <f t="shared" si="27"/>
        <v>0</v>
      </c>
      <c r="I56" s="171">
        <f t="shared" si="27"/>
        <v>0</v>
      </c>
      <c r="J56" s="171">
        <f t="shared" si="27"/>
        <v>0</v>
      </c>
      <c r="K56" s="171">
        <f t="shared" si="27"/>
        <v>0</v>
      </c>
      <c r="L56" s="171">
        <f t="shared" si="27"/>
        <v>0</v>
      </c>
      <c r="M56" s="171">
        <f t="shared" si="27"/>
        <v>0</v>
      </c>
      <c r="N56" s="171">
        <f t="shared" si="27"/>
        <v>0</v>
      </c>
      <c r="O56" s="171">
        <f t="shared" si="27"/>
        <v>0</v>
      </c>
      <c r="P56" s="171">
        <f t="shared" si="27"/>
        <v>0</v>
      </c>
      <c r="Q56" s="171">
        <f t="shared" si="27"/>
        <v>0</v>
      </c>
      <c r="R56" s="171">
        <f t="shared" si="27"/>
        <v>0</v>
      </c>
      <c r="S56" s="171">
        <f t="shared" si="27"/>
        <v>0</v>
      </c>
      <c r="T56" s="171">
        <f t="shared" si="27"/>
        <v>0</v>
      </c>
      <c r="U56" s="171">
        <f t="shared" si="27"/>
        <v>0</v>
      </c>
      <c r="V56" s="171">
        <f t="shared" si="27"/>
        <v>0</v>
      </c>
      <c r="W56" s="171">
        <f t="shared" si="27"/>
        <v>0</v>
      </c>
      <c r="X56" s="171">
        <f t="shared" si="27"/>
        <v>0</v>
      </c>
      <c r="Y56" s="171">
        <f t="shared" si="27"/>
        <v>0</v>
      </c>
      <c r="Z56" s="171">
        <f t="shared" si="27"/>
        <v>0</v>
      </c>
      <c r="AA56" s="171">
        <f t="shared" si="27"/>
        <v>0</v>
      </c>
      <c r="AB56" s="171">
        <f t="shared" si="27"/>
        <v>0</v>
      </c>
      <c r="AC56" s="171">
        <f t="shared" si="27"/>
        <v>0</v>
      </c>
      <c r="AD56" s="171">
        <f t="shared" si="27"/>
        <v>0</v>
      </c>
      <c r="AE56" s="171">
        <f t="shared" si="27"/>
        <v>0</v>
      </c>
      <c r="AF56" s="171">
        <f t="shared" si="27"/>
        <v>0</v>
      </c>
      <c r="AG56" s="171">
        <f t="shared" si="27"/>
        <v>0</v>
      </c>
      <c r="AH56" s="125"/>
      <c r="AI56" s="125"/>
      <c r="AJ56" s="125"/>
      <c r="AK56" s="125"/>
      <c r="AL56" s="125"/>
      <c r="AM56" s="125"/>
      <c r="AN56" s="125"/>
      <c r="AO56" s="125"/>
      <c r="AP56" s="125"/>
      <c r="AQ56" s="125"/>
      <c r="AR56" s="125"/>
      <c r="AS56" s="125"/>
    </row>
    <row r="57" spans="1:45" s="174" customFormat="1" ht="16.5" thickBot="1" x14ac:dyDescent="0.25">
      <c r="A57" s="172"/>
      <c r="B57" s="173"/>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row>
    <row r="58" spans="1:45" x14ac:dyDescent="0.2">
      <c r="A58" s="167" t="s">
        <v>485</v>
      </c>
      <c r="B58" s="168">
        <v>1</v>
      </c>
      <c r="C58" s="168">
        <f>B58+1</f>
        <v>2</v>
      </c>
      <c r="D58" s="168">
        <f t="shared" ref="D58:AG58" si="28">C58+1</f>
        <v>3</v>
      </c>
      <c r="E58" s="168">
        <f t="shared" si="28"/>
        <v>4</v>
      </c>
      <c r="F58" s="168">
        <f t="shared" si="28"/>
        <v>5</v>
      </c>
      <c r="G58" s="168">
        <f t="shared" si="28"/>
        <v>6</v>
      </c>
      <c r="H58" s="168">
        <f t="shared" si="28"/>
        <v>7</v>
      </c>
      <c r="I58" s="168">
        <f t="shared" si="28"/>
        <v>8</v>
      </c>
      <c r="J58" s="168">
        <f t="shared" si="28"/>
        <v>9</v>
      </c>
      <c r="K58" s="168">
        <f t="shared" si="28"/>
        <v>10</v>
      </c>
      <c r="L58" s="168">
        <f t="shared" si="28"/>
        <v>11</v>
      </c>
      <c r="M58" s="168">
        <f t="shared" si="28"/>
        <v>12</v>
      </c>
      <c r="N58" s="168">
        <f t="shared" si="28"/>
        <v>13</v>
      </c>
      <c r="O58" s="168">
        <f t="shared" si="28"/>
        <v>14</v>
      </c>
      <c r="P58" s="168">
        <f t="shared" si="28"/>
        <v>15</v>
      </c>
      <c r="Q58" s="168">
        <f t="shared" si="28"/>
        <v>16</v>
      </c>
      <c r="R58" s="168">
        <f t="shared" si="28"/>
        <v>17</v>
      </c>
      <c r="S58" s="168">
        <f t="shared" si="28"/>
        <v>18</v>
      </c>
      <c r="T58" s="168">
        <f t="shared" si="28"/>
        <v>19</v>
      </c>
      <c r="U58" s="168">
        <f t="shared" si="28"/>
        <v>20</v>
      </c>
      <c r="V58" s="168">
        <f t="shared" si="28"/>
        <v>21</v>
      </c>
      <c r="W58" s="168">
        <f t="shared" si="28"/>
        <v>22</v>
      </c>
      <c r="X58" s="168">
        <f t="shared" si="28"/>
        <v>23</v>
      </c>
      <c r="Y58" s="168">
        <f t="shared" si="28"/>
        <v>24</v>
      </c>
      <c r="Z58" s="168">
        <f t="shared" si="28"/>
        <v>25</v>
      </c>
      <c r="AA58" s="168">
        <f t="shared" si="28"/>
        <v>26</v>
      </c>
      <c r="AB58" s="168">
        <f t="shared" si="28"/>
        <v>27</v>
      </c>
      <c r="AC58" s="168">
        <f t="shared" si="28"/>
        <v>28</v>
      </c>
      <c r="AD58" s="168">
        <f t="shared" si="28"/>
        <v>29</v>
      </c>
      <c r="AE58" s="168">
        <f t="shared" si="28"/>
        <v>30</v>
      </c>
      <c r="AF58" s="168">
        <f t="shared" si="28"/>
        <v>31</v>
      </c>
      <c r="AG58" s="168">
        <f t="shared" si="28"/>
        <v>32</v>
      </c>
      <c r="AH58" s="125"/>
      <c r="AI58" s="125"/>
      <c r="AJ58" s="125"/>
      <c r="AK58" s="125"/>
      <c r="AL58" s="125"/>
      <c r="AM58" s="125"/>
      <c r="AN58" s="125"/>
      <c r="AO58" s="125"/>
      <c r="AP58" s="125"/>
      <c r="AQ58" s="125"/>
      <c r="AR58" s="125"/>
      <c r="AS58" s="125"/>
    </row>
    <row r="59" spans="1:45" ht="14.25" x14ac:dyDescent="0.2">
      <c r="A59" s="175" t="s">
        <v>275</v>
      </c>
      <c r="B59" s="205">
        <f t="shared" ref="B59:AG59" si="29">B50*$B$28</f>
        <v>0</v>
      </c>
      <c r="C59" s="205">
        <f t="shared" si="29"/>
        <v>0</v>
      </c>
      <c r="D59" s="205">
        <f t="shared" si="29"/>
        <v>0</v>
      </c>
      <c r="E59" s="205">
        <f t="shared" si="29"/>
        <v>548619.48268682533</v>
      </c>
      <c r="F59" s="205">
        <f t="shared" si="29"/>
        <v>803005.24990198773</v>
      </c>
      <c r="G59" s="205">
        <f t="shared" si="29"/>
        <v>1160274971.5303988</v>
      </c>
      <c r="H59" s="205">
        <f t="shared" si="29"/>
        <v>1357574.9510440733</v>
      </c>
      <c r="I59" s="205">
        <f t="shared" si="29"/>
        <v>1417591.9547585573</v>
      </c>
      <c r="J59" s="205">
        <f t="shared" si="29"/>
        <v>1480262.2489835166</v>
      </c>
      <c r="K59" s="205">
        <f t="shared" si="29"/>
        <v>1545703.1329857805</v>
      </c>
      <c r="L59" s="205">
        <f t="shared" si="29"/>
        <v>1614037.0917131063</v>
      </c>
      <c r="M59" s="205">
        <f t="shared" si="29"/>
        <v>1685392.0250478445</v>
      </c>
      <c r="N59" s="205">
        <f t="shared" si="29"/>
        <v>1759901.4871956729</v>
      </c>
      <c r="O59" s="205">
        <f t="shared" si="29"/>
        <v>1837704.936657462</v>
      </c>
      <c r="P59" s="205">
        <f t="shared" si="29"/>
        <v>1918947.9972521444</v>
      </c>
      <c r="Q59" s="205">
        <f t="shared" si="29"/>
        <v>2003782.7306791346</v>
      </c>
      <c r="R59" s="205">
        <f t="shared" si="29"/>
        <v>2092367.9211304605</v>
      </c>
      <c r="S59" s="205">
        <f t="shared" si="29"/>
        <v>2184869.3724853015</v>
      </c>
      <c r="T59" s="205">
        <f t="shared" si="29"/>
        <v>2281460.2186431983</v>
      </c>
      <c r="U59" s="205">
        <f t="shared" si="29"/>
        <v>2382321.247576776</v>
      </c>
      <c r="V59" s="205">
        <f t="shared" si="29"/>
        <v>2487641.2397105051</v>
      </c>
      <c r="W59" s="205">
        <f t="shared" si="29"/>
        <v>2597617.3212588471</v>
      </c>
      <c r="X59" s="205">
        <f t="shared" si="29"/>
        <v>2712455.3331851135</v>
      </c>
      <c r="Y59" s="205">
        <f t="shared" si="29"/>
        <v>2832370.2164716264</v>
      </c>
      <c r="Z59" s="205">
        <f t="shared" si="29"/>
        <v>2957586.4144222708</v>
      </c>
      <c r="AA59" s="205">
        <f t="shared" si="29"/>
        <v>3088338.2927504429</v>
      </c>
      <c r="AB59" s="205">
        <f t="shared" si="29"/>
        <v>3224870.5782386488</v>
      </c>
      <c r="AC59" s="205">
        <f t="shared" si="29"/>
        <v>3367438.8167908015</v>
      </c>
      <c r="AD59" s="205">
        <f t="shared" si="29"/>
        <v>3516309.8517345437</v>
      </c>
      <c r="AE59" s="205">
        <f t="shared" si="29"/>
        <v>3671762.3232688224</v>
      </c>
      <c r="AF59" s="205">
        <f t="shared" si="29"/>
        <v>3834087.1899915389</v>
      </c>
      <c r="AG59" s="205">
        <f t="shared" si="29"/>
        <v>4003588.2734833979</v>
      </c>
      <c r="AH59" s="125"/>
      <c r="AI59" s="125"/>
      <c r="AJ59" s="125"/>
      <c r="AK59" s="125"/>
      <c r="AL59" s="125"/>
      <c r="AM59" s="125"/>
      <c r="AN59" s="125"/>
      <c r="AO59" s="125"/>
      <c r="AP59" s="125"/>
      <c r="AQ59" s="125"/>
      <c r="AR59" s="125"/>
      <c r="AS59" s="125"/>
    </row>
    <row r="60" spans="1:45" x14ac:dyDescent="0.2">
      <c r="A60" s="169" t="s">
        <v>274</v>
      </c>
      <c r="B60" s="204">
        <f t="shared" ref="B60:Z60" si="30">SUM(B61:B65)</f>
        <v>0</v>
      </c>
      <c r="C60" s="204">
        <f t="shared" si="30"/>
        <v>0</v>
      </c>
      <c r="D60" s="204">
        <f>SUM(D61:D65)</f>
        <v>0</v>
      </c>
      <c r="E60" s="204">
        <f t="shared" si="30"/>
        <v>0</v>
      </c>
      <c r="F60" s="204">
        <f t="shared" si="30"/>
        <v>0</v>
      </c>
      <c r="G60" s="204">
        <f t="shared" si="30"/>
        <v>0</v>
      </c>
      <c r="H60" s="204">
        <f t="shared" si="30"/>
        <v>0</v>
      </c>
      <c r="I60" s="204">
        <f t="shared" si="30"/>
        <v>-190870.60473690231</v>
      </c>
      <c r="J60" s="204">
        <f t="shared" si="30"/>
        <v>0</v>
      </c>
      <c r="K60" s="204">
        <f t="shared" si="30"/>
        <v>0</v>
      </c>
      <c r="L60" s="204">
        <f t="shared" si="30"/>
        <v>0</v>
      </c>
      <c r="M60" s="204">
        <f t="shared" si="30"/>
        <v>0</v>
      </c>
      <c r="N60" s="204">
        <f t="shared" si="30"/>
        <v>0</v>
      </c>
      <c r="O60" s="204">
        <f t="shared" si="30"/>
        <v>-247436.40185764336</v>
      </c>
      <c r="P60" s="204">
        <f t="shared" si="30"/>
        <v>0</v>
      </c>
      <c r="Q60" s="204">
        <f t="shared" si="30"/>
        <v>0</v>
      </c>
      <c r="R60" s="204">
        <f t="shared" si="30"/>
        <v>0</v>
      </c>
      <c r="S60" s="204">
        <f t="shared" si="30"/>
        <v>0</v>
      </c>
      <c r="T60" s="204">
        <f t="shared" si="30"/>
        <v>0</v>
      </c>
      <c r="U60" s="204">
        <f t="shared" si="30"/>
        <v>-320765.85626503319</v>
      </c>
      <c r="V60" s="204">
        <f t="shared" si="30"/>
        <v>0</v>
      </c>
      <c r="W60" s="204">
        <f t="shared" si="30"/>
        <v>0</v>
      </c>
      <c r="X60" s="204">
        <f t="shared" si="30"/>
        <v>0</v>
      </c>
      <c r="Y60" s="204">
        <f t="shared" si="30"/>
        <v>0</v>
      </c>
      <c r="Z60" s="204">
        <f t="shared" si="30"/>
        <v>0</v>
      </c>
      <c r="AA60" s="204">
        <f t="shared" ref="AA60:AG60" si="31">SUM(AA61:AA65)</f>
        <v>-415826.9913924617</v>
      </c>
      <c r="AB60" s="204">
        <f t="shared" si="31"/>
        <v>0</v>
      </c>
      <c r="AC60" s="204">
        <f t="shared" si="31"/>
        <v>0</v>
      </c>
      <c r="AD60" s="204">
        <f t="shared" si="31"/>
        <v>0</v>
      </c>
      <c r="AE60" s="204">
        <f t="shared" si="31"/>
        <v>0</v>
      </c>
      <c r="AF60" s="204">
        <f t="shared" si="31"/>
        <v>0</v>
      </c>
      <c r="AG60" s="204">
        <f t="shared" si="31"/>
        <v>-539060.13808289357</v>
      </c>
      <c r="AH60" s="125"/>
      <c r="AI60" s="125"/>
      <c r="AJ60" s="125"/>
      <c r="AK60" s="125"/>
      <c r="AL60" s="125"/>
      <c r="AM60" s="125"/>
      <c r="AN60" s="125"/>
      <c r="AO60" s="125"/>
      <c r="AP60" s="125"/>
      <c r="AQ60" s="125"/>
      <c r="AR60" s="125"/>
      <c r="AS60" s="125"/>
    </row>
    <row r="61" spans="1:45" x14ac:dyDescent="0.2">
      <c r="A61" s="176" t="s">
        <v>273</v>
      </c>
      <c r="B61" s="204"/>
      <c r="C61" s="204"/>
      <c r="D61" s="204">
        <f>-IF(D$47&lt;=$B$30,0,$B$29*(1+D$49)*$B$28)</f>
        <v>0</v>
      </c>
      <c r="E61" s="204">
        <f t="shared" ref="E61:AG61" si="32">-IF(E$47&lt;=$B$30,0,$B$29*(1+E$49)*$B$28)</f>
        <v>0</v>
      </c>
      <c r="F61" s="204">
        <f t="shared" si="32"/>
        <v>0</v>
      </c>
      <c r="G61" s="204">
        <f t="shared" si="32"/>
        <v>0</v>
      </c>
      <c r="H61" s="204">
        <v>0</v>
      </c>
      <c r="I61" s="204">
        <f t="shared" si="32"/>
        <v>-190870.60473690231</v>
      </c>
      <c r="J61" s="204"/>
      <c r="K61" s="204"/>
      <c r="L61" s="204"/>
      <c r="M61" s="204"/>
      <c r="N61" s="204">
        <v>0</v>
      </c>
      <c r="O61" s="204">
        <f t="shared" si="32"/>
        <v>-247436.40185764336</v>
      </c>
      <c r="P61" s="204"/>
      <c r="Q61" s="204"/>
      <c r="R61" s="204"/>
      <c r="S61" s="204"/>
      <c r="T61" s="204"/>
      <c r="U61" s="204">
        <f t="shared" si="32"/>
        <v>-320765.85626503319</v>
      </c>
      <c r="V61" s="204"/>
      <c r="W61" s="204"/>
      <c r="X61" s="204"/>
      <c r="Y61" s="204"/>
      <c r="Z61" s="204"/>
      <c r="AA61" s="204">
        <f t="shared" si="32"/>
        <v>-415826.9913924617</v>
      </c>
      <c r="AB61" s="204"/>
      <c r="AC61" s="204"/>
      <c r="AD61" s="204"/>
      <c r="AE61" s="204"/>
      <c r="AF61" s="204"/>
      <c r="AG61" s="204">
        <f t="shared" si="32"/>
        <v>-539060.13808289357</v>
      </c>
      <c r="AH61" s="125"/>
      <c r="AI61" s="125"/>
      <c r="AJ61" s="125"/>
      <c r="AK61" s="125"/>
      <c r="AL61" s="125"/>
      <c r="AM61" s="125"/>
      <c r="AN61" s="125"/>
      <c r="AO61" s="125"/>
      <c r="AP61" s="125"/>
      <c r="AQ61" s="125"/>
      <c r="AR61" s="125"/>
      <c r="AS61" s="125"/>
    </row>
    <row r="62" spans="1:45" x14ac:dyDescent="0.2">
      <c r="A62" s="176" t="str">
        <f>A32</f>
        <v>Прочие расходы при эксплуатации объекта, руб. без НДС</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125"/>
      <c r="AI62" s="125"/>
      <c r="AJ62" s="125"/>
      <c r="AK62" s="125"/>
      <c r="AL62" s="125"/>
      <c r="AM62" s="125"/>
      <c r="AN62" s="125"/>
      <c r="AO62" s="125"/>
      <c r="AP62" s="125"/>
      <c r="AQ62" s="125"/>
      <c r="AR62" s="125"/>
      <c r="AS62" s="125"/>
    </row>
    <row r="63" spans="1:45" x14ac:dyDescent="0.2">
      <c r="A63" s="176" t="s">
        <v>482</v>
      </c>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125"/>
      <c r="AI63" s="125"/>
      <c r="AJ63" s="125"/>
      <c r="AK63" s="125"/>
      <c r="AL63" s="125"/>
      <c r="AM63" s="125"/>
      <c r="AN63" s="125"/>
      <c r="AO63" s="125"/>
      <c r="AP63" s="125"/>
      <c r="AQ63" s="125"/>
      <c r="AR63" s="125"/>
      <c r="AS63" s="125"/>
    </row>
    <row r="64" spans="1:45" x14ac:dyDescent="0.2">
      <c r="A64" s="176" t="s">
        <v>482</v>
      </c>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125"/>
      <c r="AI64" s="125"/>
      <c r="AJ64" s="125"/>
      <c r="AK64" s="125"/>
      <c r="AL64" s="125"/>
      <c r="AM64" s="125"/>
      <c r="AN64" s="125"/>
      <c r="AO64" s="125"/>
      <c r="AP64" s="125"/>
      <c r="AQ64" s="125"/>
      <c r="AR64" s="125"/>
      <c r="AS64" s="125"/>
    </row>
    <row r="65" spans="1:45" ht="31.5" x14ac:dyDescent="0.2">
      <c r="A65" s="176" t="s">
        <v>486</v>
      </c>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125"/>
      <c r="AI65" s="125"/>
      <c r="AJ65" s="125"/>
      <c r="AK65" s="125"/>
      <c r="AL65" s="125"/>
      <c r="AM65" s="125"/>
      <c r="AN65" s="125"/>
      <c r="AO65" s="125"/>
      <c r="AP65" s="125"/>
      <c r="AQ65" s="125"/>
      <c r="AR65" s="125"/>
      <c r="AS65" s="125"/>
    </row>
    <row r="66" spans="1:45" ht="28.5" x14ac:dyDescent="0.2">
      <c r="A66" s="177" t="s">
        <v>271</v>
      </c>
      <c r="B66" s="205">
        <f t="shared" ref="B66:AG66" si="33">B59+B60</f>
        <v>0</v>
      </c>
      <c r="C66" s="205">
        <f t="shared" si="33"/>
        <v>0</v>
      </c>
      <c r="D66" s="205">
        <f t="shared" si="33"/>
        <v>0</v>
      </c>
      <c r="E66" s="205">
        <f t="shared" si="33"/>
        <v>548619.48268682533</v>
      </c>
      <c r="F66" s="205">
        <f t="shared" si="33"/>
        <v>803005.24990198773</v>
      </c>
      <c r="G66" s="205">
        <f t="shared" si="33"/>
        <v>1160274971.5303988</v>
      </c>
      <c r="H66" s="205">
        <f t="shared" si="33"/>
        <v>1357574.9510440733</v>
      </c>
      <c r="I66" s="205">
        <f t="shared" si="33"/>
        <v>1226721.350021655</v>
      </c>
      <c r="J66" s="205">
        <f t="shared" si="33"/>
        <v>1480262.2489835166</v>
      </c>
      <c r="K66" s="205">
        <f t="shared" si="33"/>
        <v>1545703.1329857805</v>
      </c>
      <c r="L66" s="205">
        <f t="shared" si="33"/>
        <v>1614037.0917131063</v>
      </c>
      <c r="M66" s="205">
        <f t="shared" si="33"/>
        <v>1685392.0250478445</v>
      </c>
      <c r="N66" s="205">
        <f t="shared" si="33"/>
        <v>1759901.4871956729</v>
      </c>
      <c r="O66" s="205">
        <f t="shared" si="33"/>
        <v>1590268.5347998186</v>
      </c>
      <c r="P66" s="205">
        <f t="shared" si="33"/>
        <v>1918947.9972521444</v>
      </c>
      <c r="Q66" s="205">
        <f t="shared" si="33"/>
        <v>2003782.7306791346</v>
      </c>
      <c r="R66" s="205">
        <f t="shared" si="33"/>
        <v>2092367.9211304605</v>
      </c>
      <c r="S66" s="205">
        <f t="shared" si="33"/>
        <v>2184869.3724853015</v>
      </c>
      <c r="T66" s="205">
        <f t="shared" si="33"/>
        <v>2281460.2186431983</v>
      </c>
      <c r="U66" s="205">
        <f t="shared" si="33"/>
        <v>2061555.3913117428</v>
      </c>
      <c r="V66" s="205">
        <f t="shared" si="33"/>
        <v>2487641.2397105051</v>
      </c>
      <c r="W66" s="205">
        <f t="shared" si="33"/>
        <v>2597617.3212588471</v>
      </c>
      <c r="X66" s="205">
        <f t="shared" si="33"/>
        <v>2712455.3331851135</v>
      </c>
      <c r="Y66" s="205">
        <f t="shared" si="33"/>
        <v>2832370.2164716264</v>
      </c>
      <c r="Z66" s="205">
        <f t="shared" si="33"/>
        <v>2957586.4144222708</v>
      </c>
      <c r="AA66" s="205">
        <f t="shared" si="33"/>
        <v>2672511.3013579813</v>
      </c>
      <c r="AB66" s="205">
        <f t="shared" si="33"/>
        <v>3224870.5782386488</v>
      </c>
      <c r="AC66" s="205">
        <f t="shared" si="33"/>
        <v>3367438.8167908015</v>
      </c>
      <c r="AD66" s="205">
        <f t="shared" si="33"/>
        <v>3516309.8517345437</v>
      </c>
      <c r="AE66" s="205">
        <f t="shared" si="33"/>
        <v>3671762.3232688224</v>
      </c>
      <c r="AF66" s="205">
        <f t="shared" si="33"/>
        <v>3834087.1899915389</v>
      </c>
      <c r="AG66" s="205">
        <f t="shared" si="33"/>
        <v>3464528.1354005043</v>
      </c>
      <c r="AH66" s="125"/>
      <c r="AI66" s="125"/>
      <c r="AJ66" s="125"/>
      <c r="AK66" s="125"/>
      <c r="AL66" s="125"/>
      <c r="AM66" s="125"/>
      <c r="AN66" s="125"/>
      <c r="AO66" s="125"/>
      <c r="AP66" s="125"/>
      <c r="AQ66" s="125"/>
      <c r="AR66" s="125"/>
      <c r="AS66" s="125"/>
    </row>
    <row r="67" spans="1:45" x14ac:dyDescent="0.2">
      <c r="A67" s="176" t="s">
        <v>266</v>
      </c>
      <c r="B67" s="178"/>
      <c r="C67" s="204"/>
      <c r="D67" s="204">
        <f>-($B$25)*$B$28/$B$27</f>
        <v>-413849.43466666673</v>
      </c>
      <c r="E67" s="204">
        <f t="shared" ref="E67:AG67" si="34">D67</f>
        <v>-413849.43466666673</v>
      </c>
      <c r="F67" s="204">
        <f t="shared" si="34"/>
        <v>-413849.43466666673</v>
      </c>
      <c r="G67" s="204">
        <f t="shared" si="34"/>
        <v>-413849.43466666673</v>
      </c>
      <c r="H67" s="204">
        <f t="shared" si="34"/>
        <v>-413849.43466666673</v>
      </c>
      <c r="I67" s="204">
        <f t="shared" si="34"/>
        <v>-413849.43466666673</v>
      </c>
      <c r="J67" s="204">
        <f t="shared" si="34"/>
        <v>-413849.43466666673</v>
      </c>
      <c r="K67" s="204">
        <f t="shared" si="34"/>
        <v>-413849.43466666673</v>
      </c>
      <c r="L67" s="204">
        <f t="shared" si="34"/>
        <v>-413849.43466666673</v>
      </c>
      <c r="M67" s="204">
        <f t="shared" si="34"/>
        <v>-413849.43466666673</v>
      </c>
      <c r="N67" s="204">
        <f t="shared" si="34"/>
        <v>-413849.43466666673</v>
      </c>
      <c r="O67" s="204">
        <f t="shared" si="34"/>
        <v>-413849.43466666673</v>
      </c>
      <c r="P67" s="204">
        <f t="shared" si="34"/>
        <v>-413849.43466666673</v>
      </c>
      <c r="Q67" s="204">
        <f t="shared" si="34"/>
        <v>-413849.43466666673</v>
      </c>
      <c r="R67" s="204">
        <f t="shared" si="34"/>
        <v>-413849.43466666673</v>
      </c>
      <c r="S67" s="204">
        <f t="shared" si="34"/>
        <v>-413849.43466666673</v>
      </c>
      <c r="T67" s="204">
        <f t="shared" si="34"/>
        <v>-413849.43466666673</v>
      </c>
      <c r="U67" s="204">
        <f t="shared" si="34"/>
        <v>-413849.43466666673</v>
      </c>
      <c r="V67" s="204">
        <f t="shared" si="34"/>
        <v>-413849.43466666673</v>
      </c>
      <c r="W67" s="204">
        <f t="shared" si="34"/>
        <v>-413849.43466666673</v>
      </c>
      <c r="X67" s="204">
        <f t="shared" si="34"/>
        <v>-413849.43466666673</v>
      </c>
      <c r="Y67" s="204">
        <f t="shared" si="34"/>
        <v>-413849.43466666673</v>
      </c>
      <c r="Z67" s="204">
        <f t="shared" si="34"/>
        <v>-413849.43466666673</v>
      </c>
      <c r="AA67" s="204">
        <f t="shared" si="34"/>
        <v>-413849.43466666673</v>
      </c>
      <c r="AB67" s="204">
        <f t="shared" si="34"/>
        <v>-413849.43466666673</v>
      </c>
      <c r="AC67" s="204">
        <f t="shared" si="34"/>
        <v>-413849.43466666673</v>
      </c>
      <c r="AD67" s="204">
        <f t="shared" si="34"/>
        <v>-413849.43466666673</v>
      </c>
      <c r="AE67" s="204">
        <f t="shared" si="34"/>
        <v>-413849.43466666673</v>
      </c>
      <c r="AF67" s="204">
        <f t="shared" si="34"/>
        <v>-413849.43466666673</v>
      </c>
      <c r="AG67" s="204">
        <f t="shared" si="34"/>
        <v>-413849.43466666673</v>
      </c>
      <c r="AH67" s="125"/>
      <c r="AI67" s="125"/>
      <c r="AJ67" s="125"/>
      <c r="AK67" s="125"/>
      <c r="AL67" s="125"/>
      <c r="AM67" s="125"/>
      <c r="AN67" s="125"/>
      <c r="AO67" s="125"/>
      <c r="AP67" s="125"/>
      <c r="AQ67" s="125"/>
      <c r="AR67" s="125"/>
      <c r="AS67" s="125"/>
    </row>
    <row r="68" spans="1:45" ht="28.5" x14ac:dyDescent="0.2">
      <c r="A68" s="177" t="s">
        <v>267</v>
      </c>
      <c r="B68" s="205">
        <f t="shared" ref="B68:J68" si="35">B66+B67</f>
        <v>0</v>
      </c>
      <c r="C68" s="205">
        <f>C66+C67</f>
        <v>0</v>
      </c>
      <c r="D68" s="205">
        <f>D66+D67</f>
        <v>-413849.43466666673</v>
      </c>
      <c r="E68" s="205">
        <f t="shared" si="35"/>
        <v>134770.0480201586</v>
      </c>
      <c r="F68" s="205">
        <f>F66+C67</f>
        <v>803005.24990198773</v>
      </c>
      <c r="G68" s="205">
        <f t="shared" si="35"/>
        <v>1159861122.0957322</v>
      </c>
      <c r="H68" s="205">
        <f t="shared" si="35"/>
        <v>943725.51637740666</v>
      </c>
      <c r="I68" s="205">
        <f t="shared" si="35"/>
        <v>812871.9153549883</v>
      </c>
      <c r="J68" s="205">
        <f t="shared" si="35"/>
        <v>1066412.8143168499</v>
      </c>
      <c r="K68" s="205">
        <f>K66+K67</f>
        <v>1131853.6983191138</v>
      </c>
      <c r="L68" s="205">
        <f>L66+L67</f>
        <v>1200187.6570464396</v>
      </c>
      <c r="M68" s="205">
        <f t="shared" ref="M68:AG68" si="36">M66+M67</f>
        <v>1271542.5903811778</v>
      </c>
      <c r="N68" s="205">
        <f t="shared" si="36"/>
        <v>1346052.0525290063</v>
      </c>
      <c r="O68" s="205">
        <f t="shared" si="36"/>
        <v>1176419.100133152</v>
      </c>
      <c r="P68" s="205">
        <f t="shared" si="36"/>
        <v>1505098.5625854777</v>
      </c>
      <c r="Q68" s="205">
        <f t="shared" si="36"/>
        <v>1589933.2960124679</v>
      </c>
      <c r="R68" s="205">
        <f t="shared" si="36"/>
        <v>1678518.4864637938</v>
      </c>
      <c r="S68" s="205">
        <f t="shared" si="36"/>
        <v>1771019.9378186348</v>
      </c>
      <c r="T68" s="205">
        <f t="shared" si="36"/>
        <v>1867610.7839765316</v>
      </c>
      <c r="U68" s="205">
        <f t="shared" si="36"/>
        <v>1647705.9566450762</v>
      </c>
      <c r="V68" s="205">
        <f t="shared" si="36"/>
        <v>2073791.8050438385</v>
      </c>
      <c r="W68" s="205">
        <f t="shared" si="36"/>
        <v>2183767.8865921805</v>
      </c>
      <c r="X68" s="205">
        <f t="shared" si="36"/>
        <v>2298605.8985184468</v>
      </c>
      <c r="Y68" s="205">
        <f t="shared" si="36"/>
        <v>2418520.7818049598</v>
      </c>
      <c r="Z68" s="205">
        <f t="shared" si="36"/>
        <v>2543736.9797556042</v>
      </c>
      <c r="AA68" s="205">
        <f t="shared" si="36"/>
        <v>2258661.8666913146</v>
      </c>
      <c r="AB68" s="205">
        <f t="shared" si="36"/>
        <v>2811021.1435719822</v>
      </c>
      <c r="AC68" s="205">
        <f t="shared" si="36"/>
        <v>2953589.3821241348</v>
      </c>
      <c r="AD68" s="205">
        <f t="shared" si="36"/>
        <v>3102460.417067877</v>
      </c>
      <c r="AE68" s="205">
        <f t="shared" si="36"/>
        <v>3257912.8886021557</v>
      </c>
      <c r="AF68" s="205">
        <f t="shared" si="36"/>
        <v>3420237.7553248722</v>
      </c>
      <c r="AG68" s="205">
        <f t="shared" si="36"/>
        <v>3050678.7007338377</v>
      </c>
      <c r="AH68" s="125"/>
      <c r="AI68" s="125"/>
      <c r="AJ68" s="125"/>
      <c r="AK68" s="125"/>
      <c r="AL68" s="125"/>
      <c r="AM68" s="125"/>
      <c r="AN68" s="125"/>
      <c r="AO68" s="125"/>
      <c r="AP68" s="125"/>
      <c r="AQ68" s="125"/>
      <c r="AR68" s="125"/>
      <c r="AS68" s="125"/>
    </row>
    <row r="69" spans="1:45" x14ac:dyDescent="0.2">
      <c r="A69" s="176" t="s">
        <v>265</v>
      </c>
      <c r="B69" s="204">
        <f t="shared" ref="B69:AG69" si="37">-B56</f>
        <v>0</v>
      </c>
      <c r="C69" s="204">
        <f t="shared" si="37"/>
        <v>0</v>
      </c>
      <c r="D69" s="204">
        <f t="shared" si="37"/>
        <v>0</v>
      </c>
      <c r="E69" s="204">
        <f t="shared" si="37"/>
        <v>0</v>
      </c>
      <c r="F69" s="204">
        <f t="shared" si="37"/>
        <v>0</v>
      </c>
      <c r="G69" s="204">
        <f t="shared" si="37"/>
        <v>0</v>
      </c>
      <c r="H69" s="204">
        <f t="shared" si="37"/>
        <v>0</v>
      </c>
      <c r="I69" s="204">
        <f t="shared" si="37"/>
        <v>0</v>
      </c>
      <c r="J69" s="204">
        <f t="shared" si="37"/>
        <v>0</v>
      </c>
      <c r="K69" s="204">
        <f t="shared" si="37"/>
        <v>0</v>
      </c>
      <c r="L69" s="204">
        <f t="shared" si="37"/>
        <v>0</v>
      </c>
      <c r="M69" s="204">
        <f t="shared" si="37"/>
        <v>0</v>
      </c>
      <c r="N69" s="204">
        <f t="shared" si="37"/>
        <v>0</v>
      </c>
      <c r="O69" s="204">
        <f t="shared" si="37"/>
        <v>0</v>
      </c>
      <c r="P69" s="204">
        <f t="shared" si="37"/>
        <v>0</v>
      </c>
      <c r="Q69" s="204">
        <f t="shared" si="37"/>
        <v>0</v>
      </c>
      <c r="R69" s="204">
        <f t="shared" si="37"/>
        <v>0</v>
      </c>
      <c r="S69" s="204">
        <f t="shared" si="37"/>
        <v>0</v>
      </c>
      <c r="T69" s="204">
        <f t="shared" si="37"/>
        <v>0</v>
      </c>
      <c r="U69" s="204">
        <f t="shared" si="37"/>
        <v>0</v>
      </c>
      <c r="V69" s="204">
        <f t="shared" si="37"/>
        <v>0</v>
      </c>
      <c r="W69" s="204">
        <f t="shared" si="37"/>
        <v>0</v>
      </c>
      <c r="X69" s="204">
        <f t="shared" si="37"/>
        <v>0</v>
      </c>
      <c r="Y69" s="204">
        <f t="shared" si="37"/>
        <v>0</v>
      </c>
      <c r="Z69" s="204">
        <f t="shared" si="37"/>
        <v>0</v>
      </c>
      <c r="AA69" s="204">
        <f t="shared" si="37"/>
        <v>0</v>
      </c>
      <c r="AB69" s="204">
        <f t="shared" si="37"/>
        <v>0</v>
      </c>
      <c r="AC69" s="204">
        <f t="shared" si="37"/>
        <v>0</v>
      </c>
      <c r="AD69" s="204">
        <f t="shared" si="37"/>
        <v>0</v>
      </c>
      <c r="AE69" s="204">
        <f t="shared" si="37"/>
        <v>0</v>
      </c>
      <c r="AF69" s="204">
        <f t="shared" si="37"/>
        <v>0</v>
      </c>
      <c r="AG69" s="204">
        <f t="shared" si="37"/>
        <v>0</v>
      </c>
      <c r="AH69" s="125"/>
      <c r="AI69" s="125"/>
      <c r="AJ69" s="125"/>
      <c r="AK69" s="125"/>
      <c r="AL69" s="125"/>
      <c r="AM69" s="125"/>
      <c r="AN69" s="125"/>
      <c r="AO69" s="125"/>
      <c r="AP69" s="125"/>
      <c r="AQ69" s="125"/>
      <c r="AR69" s="125"/>
      <c r="AS69" s="125"/>
    </row>
    <row r="70" spans="1:45" ht="14.25" x14ac:dyDescent="0.2">
      <c r="A70" s="177" t="s">
        <v>270</v>
      </c>
      <c r="B70" s="205">
        <f t="shared" ref="B70:AG70" si="38">B68+B69</f>
        <v>0</v>
      </c>
      <c r="C70" s="205">
        <f t="shared" si="38"/>
        <v>0</v>
      </c>
      <c r="D70" s="205">
        <f t="shared" si="38"/>
        <v>-413849.43466666673</v>
      </c>
      <c r="E70" s="205">
        <f t="shared" si="38"/>
        <v>134770.0480201586</v>
      </c>
      <c r="F70" s="205">
        <f t="shared" si="38"/>
        <v>803005.24990198773</v>
      </c>
      <c r="G70" s="205">
        <f t="shared" si="38"/>
        <v>1159861122.0957322</v>
      </c>
      <c r="H70" s="205">
        <f t="shared" si="38"/>
        <v>943725.51637740666</v>
      </c>
      <c r="I70" s="205">
        <f t="shared" si="38"/>
        <v>812871.9153549883</v>
      </c>
      <c r="J70" s="205">
        <f t="shared" si="38"/>
        <v>1066412.8143168499</v>
      </c>
      <c r="K70" s="205">
        <f t="shared" si="38"/>
        <v>1131853.6983191138</v>
      </c>
      <c r="L70" s="205">
        <f t="shared" si="38"/>
        <v>1200187.6570464396</v>
      </c>
      <c r="M70" s="205">
        <f t="shared" si="38"/>
        <v>1271542.5903811778</v>
      </c>
      <c r="N70" s="205">
        <f t="shared" si="38"/>
        <v>1346052.0525290063</v>
      </c>
      <c r="O70" s="205">
        <f t="shared" si="38"/>
        <v>1176419.100133152</v>
      </c>
      <c r="P70" s="205">
        <f t="shared" si="38"/>
        <v>1505098.5625854777</v>
      </c>
      <c r="Q70" s="205">
        <f t="shared" si="38"/>
        <v>1589933.2960124679</v>
      </c>
      <c r="R70" s="205">
        <f t="shared" si="38"/>
        <v>1678518.4864637938</v>
      </c>
      <c r="S70" s="205">
        <f t="shared" si="38"/>
        <v>1771019.9378186348</v>
      </c>
      <c r="T70" s="205">
        <f t="shared" si="38"/>
        <v>1867610.7839765316</v>
      </c>
      <c r="U70" s="205">
        <f t="shared" si="38"/>
        <v>1647705.9566450762</v>
      </c>
      <c r="V70" s="205">
        <f t="shared" si="38"/>
        <v>2073791.8050438385</v>
      </c>
      <c r="W70" s="205">
        <f t="shared" si="38"/>
        <v>2183767.8865921805</v>
      </c>
      <c r="X70" s="205">
        <f t="shared" si="38"/>
        <v>2298605.8985184468</v>
      </c>
      <c r="Y70" s="205">
        <f t="shared" si="38"/>
        <v>2418520.7818049598</v>
      </c>
      <c r="Z70" s="205">
        <f t="shared" si="38"/>
        <v>2543736.9797556042</v>
      </c>
      <c r="AA70" s="205">
        <f t="shared" si="38"/>
        <v>2258661.8666913146</v>
      </c>
      <c r="AB70" s="205">
        <f t="shared" si="38"/>
        <v>2811021.1435719822</v>
      </c>
      <c r="AC70" s="205">
        <f t="shared" si="38"/>
        <v>2953589.3821241348</v>
      </c>
      <c r="AD70" s="205">
        <f t="shared" si="38"/>
        <v>3102460.417067877</v>
      </c>
      <c r="AE70" s="205">
        <f t="shared" si="38"/>
        <v>3257912.8886021557</v>
      </c>
      <c r="AF70" s="205">
        <f t="shared" si="38"/>
        <v>3420237.7553248722</v>
      </c>
      <c r="AG70" s="205">
        <f t="shared" si="38"/>
        <v>3050678.7007338377</v>
      </c>
      <c r="AH70" s="125"/>
      <c r="AI70" s="125"/>
      <c r="AJ70" s="125"/>
      <c r="AK70" s="125"/>
      <c r="AL70" s="125"/>
      <c r="AM70" s="125"/>
      <c r="AN70" s="125"/>
      <c r="AO70" s="125"/>
      <c r="AP70" s="125"/>
      <c r="AQ70" s="125"/>
      <c r="AR70" s="125"/>
      <c r="AS70" s="125"/>
    </row>
    <row r="71" spans="1:45" x14ac:dyDescent="0.2">
      <c r="A71" s="176" t="s">
        <v>264</v>
      </c>
      <c r="B71" s="204">
        <f t="shared" ref="B71:AG71" si="39">-B70*$B$36</f>
        <v>0</v>
      </c>
      <c r="C71" s="204">
        <f t="shared" si="39"/>
        <v>0</v>
      </c>
      <c r="D71" s="204">
        <f t="shared" si="39"/>
        <v>82769.886933333357</v>
      </c>
      <c r="E71" s="204">
        <f t="shared" si="39"/>
        <v>-26954.009604031722</v>
      </c>
      <c r="F71" s="204">
        <f t="shared" si="39"/>
        <v>-160601.04998039757</v>
      </c>
      <c r="G71" s="204">
        <f t="shared" si="39"/>
        <v>-231972224.41914645</v>
      </c>
      <c r="H71" s="204">
        <f t="shared" si="39"/>
        <v>-188745.10327548135</v>
      </c>
      <c r="I71" s="204">
        <f t="shared" si="39"/>
        <v>-162574.38307099766</v>
      </c>
      <c r="J71" s="204">
        <f t="shared" si="39"/>
        <v>-213282.56286337</v>
      </c>
      <c r="K71" s="204">
        <f t="shared" si="39"/>
        <v>-226370.73966382278</v>
      </c>
      <c r="L71" s="204">
        <f t="shared" si="39"/>
        <v>-240037.53140928794</v>
      </c>
      <c r="M71" s="204">
        <f t="shared" si="39"/>
        <v>-254308.51807623557</v>
      </c>
      <c r="N71" s="204">
        <f t="shared" si="39"/>
        <v>-269210.41050580126</v>
      </c>
      <c r="O71" s="204">
        <f t="shared" si="39"/>
        <v>-235283.82002663042</v>
      </c>
      <c r="P71" s="204">
        <f t="shared" si="39"/>
        <v>-301019.71251709556</v>
      </c>
      <c r="Q71" s="204">
        <f t="shared" si="39"/>
        <v>-317986.65920249361</v>
      </c>
      <c r="R71" s="204">
        <f t="shared" si="39"/>
        <v>-335703.69729275879</v>
      </c>
      <c r="S71" s="204">
        <f t="shared" si="39"/>
        <v>-354203.98756372696</v>
      </c>
      <c r="T71" s="204">
        <f t="shared" si="39"/>
        <v>-373522.15679530636</v>
      </c>
      <c r="U71" s="204">
        <f t="shared" si="39"/>
        <v>-329541.19132901524</v>
      </c>
      <c r="V71" s="204">
        <f t="shared" si="39"/>
        <v>-414758.36100876774</v>
      </c>
      <c r="W71" s="204">
        <f t="shared" si="39"/>
        <v>-436753.57731843612</v>
      </c>
      <c r="X71" s="204">
        <f t="shared" si="39"/>
        <v>-459721.17970368941</v>
      </c>
      <c r="Y71" s="204">
        <f t="shared" si="39"/>
        <v>-483704.156360992</v>
      </c>
      <c r="Z71" s="204">
        <f t="shared" si="39"/>
        <v>-508747.39595112088</v>
      </c>
      <c r="AA71" s="204">
        <f t="shared" si="39"/>
        <v>-451732.37333826296</v>
      </c>
      <c r="AB71" s="204">
        <f t="shared" si="39"/>
        <v>-562204.22871439648</v>
      </c>
      <c r="AC71" s="204">
        <f t="shared" si="39"/>
        <v>-590717.87642482703</v>
      </c>
      <c r="AD71" s="204">
        <f t="shared" si="39"/>
        <v>-620492.08341357543</v>
      </c>
      <c r="AE71" s="204">
        <f t="shared" si="39"/>
        <v>-651582.57772043115</v>
      </c>
      <c r="AF71" s="204">
        <f t="shared" si="39"/>
        <v>-684047.55106497451</v>
      </c>
      <c r="AG71" s="204">
        <f t="shared" si="39"/>
        <v>-610135.74014676758</v>
      </c>
      <c r="AH71" s="125"/>
      <c r="AI71" s="125"/>
      <c r="AJ71" s="125"/>
      <c r="AK71" s="125"/>
      <c r="AL71" s="125"/>
      <c r="AM71" s="125"/>
      <c r="AN71" s="125"/>
      <c r="AO71" s="125"/>
      <c r="AP71" s="125"/>
      <c r="AQ71" s="125"/>
      <c r="AR71" s="125"/>
      <c r="AS71" s="125"/>
    </row>
    <row r="72" spans="1:45" ht="15" thickBot="1" x14ac:dyDescent="0.25">
      <c r="A72" s="179" t="s">
        <v>269</v>
      </c>
      <c r="B72" s="180">
        <f t="shared" ref="B72:AG72" si="40">B70+B71</f>
        <v>0</v>
      </c>
      <c r="C72" s="180">
        <f t="shared" si="40"/>
        <v>0</v>
      </c>
      <c r="D72" s="180">
        <f t="shared" si="40"/>
        <v>-331079.54773333337</v>
      </c>
      <c r="E72" s="180">
        <f t="shared" si="40"/>
        <v>107816.03841612689</v>
      </c>
      <c r="F72" s="180">
        <f t="shared" si="40"/>
        <v>642404.19992159016</v>
      </c>
      <c r="G72" s="180">
        <f t="shared" si="40"/>
        <v>927888897.67658579</v>
      </c>
      <c r="H72" s="180">
        <f t="shared" si="40"/>
        <v>754980.41310192528</v>
      </c>
      <c r="I72" s="180">
        <f t="shared" si="40"/>
        <v>650297.53228399064</v>
      </c>
      <c r="J72" s="180">
        <f t="shared" si="40"/>
        <v>853130.25145347998</v>
      </c>
      <c r="K72" s="180">
        <f t="shared" si="40"/>
        <v>905482.958655291</v>
      </c>
      <c r="L72" s="180">
        <f t="shared" si="40"/>
        <v>960150.12563715165</v>
      </c>
      <c r="M72" s="180">
        <f t="shared" si="40"/>
        <v>1017234.0723049423</v>
      </c>
      <c r="N72" s="180">
        <f t="shared" si="40"/>
        <v>1076841.6420232051</v>
      </c>
      <c r="O72" s="180">
        <f t="shared" si="40"/>
        <v>941135.28010652156</v>
      </c>
      <c r="P72" s="180">
        <f t="shared" si="40"/>
        <v>1204078.8500683822</v>
      </c>
      <c r="Q72" s="180">
        <f t="shared" si="40"/>
        <v>1271946.6368099744</v>
      </c>
      <c r="R72" s="180">
        <f t="shared" si="40"/>
        <v>1342814.7891710349</v>
      </c>
      <c r="S72" s="180">
        <f t="shared" si="40"/>
        <v>1416815.9502549078</v>
      </c>
      <c r="T72" s="180">
        <f t="shared" si="40"/>
        <v>1494088.6271812252</v>
      </c>
      <c r="U72" s="180">
        <f t="shared" si="40"/>
        <v>1318164.765316061</v>
      </c>
      <c r="V72" s="180">
        <f t="shared" si="40"/>
        <v>1659033.4440350707</v>
      </c>
      <c r="W72" s="180">
        <f t="shared" si="40"/>
        <v>1747014.3092737445</v>
      </c>
      <c r="X72" s="180">
        <f t="shared" si="40"/>
        <v>1838884.7188147574</v>
      </c>
      <c r="Y72" s="180">
        <f t="shared" si="40"/>
        <v>1934816.6254439678</v>
      </c>
      <c r="Z72" s="180">
        <f t="shared" si="40"/>
        <v>2034989.5838044833</v>
      </c>
      <c r="AA72" s="180">
        <f t="shared" si="40"/>
        <v>1806929.4933530516</v>
      </c>
      <c r="AB72" s="180">
        <f t="shared" si="40"/>
        <v>2248816.9148575859</v>
      </c>
      <c r="AC72" s="180">
        <f t="shared" si="40"/>
        <v>2362871.5056993077</v>
      </c>
      <c r="AD72" s="180">
        <f t="shared" si="40"/>
        <v>2481968.3336543017</v>
      </c>
      <c r="AE72" s="180">
        <f t="shared" si="40"/>
        <v>2606330.3108817246</v>
      </c>
      <c r="AF72" s="180">
        <f t="shared" si="40"/>
        <v>2736190.2042598976</v>
      </c>
      <c r="AG72" s="180">
        <f t="shared" si="40"/>
        <v>2440542.9605870703</v>
      </c>
      <c r="AH72" s="125"/>
      <c r="AI72" s="125"/>
      <c r="AJ72" s="125"/>
      <c r="AK72" s="125"/>
      <c r="AL72" s="125"/>
      <c r="AM72" s="125"/>
      <c r="AN72" s="125"/>
      <c r="AO72" s="125"/>
      <c r="AP72" s="125"/>
      <c r="AQ72" s="125"/>
      <c r="AR72" s="125"/>
      <c r="AS72" s="125"/>
    </row>
    <row r="73" spans="1:45" s="182" customFormat="1" ht="16.5" thickBot="1" x14ac:dyDescent="0.25">
      <c r="A73" s="172"/>
      <c r="B73" s="398">
        <f>C134</f>
        <v>0.5</v>
      </c>
      <c r="C73" s="398">
        <f t="shared" ref="C73:AG73" si="41">D134</f>
        <v>1.5</v>
      </c>
      <c r="D73" s="398">
        <f t="shared" si="41"/>
        <v>2.5</v>
      </c>
      <c r="E73" s="398">
        <f t="shared" si="41"/>
        <v>3.5</v>
      </c>
      <c r="F73" s="398">
        <f t="shared" si="41"/>
        <v>4.5</v>
      </c>
      <c r="G73" s="398">
        <f t="shared" si="41"/>
        <v>5.5</v>
      </c>
      <c r="H73" s="398">
        <f t="shared" si="41"/>
        <v>6.5</v>
      </c>
      <c r="I73" s="398">
        <f t="shared" si="41"/>
        <v>7.5</v>
      </c>
      <c r="J73" s="398">
        <f t="shared" si="41"/>
        <v>8.5</v>
      </c>
      <c r="K73" s="398">
        <f t="shared" si="41"/>
        <v>9.5</v>
      </c>
      <c r="L73" s="398">
        <f t="shared" si="41"/>
        <v>10.5</v>
      </c>
      <c r="M73" s="398">
        <f t="shared" si="41"/>
        <v>11.5</v>
      </c>
      <c r="N73" s="181">
        <f t="shared" si="41"/>
        <v>12.5</v>
      </c>
      <c r="O73" s="181">
        <f t="shared" si="41"/>
        <v>13.5</v>
      </c>
      <c r="P73" s="181">
        <f t="shared" si="41"/>
        <v>14.5</v>
      </c>
      <c r="Q73" s="181">
        <f t="shared" si="41"/>
        <v>15.5</v>
      </c>
      <c r="R73" s="181">
        <f t="shared" si="41"/>
        <v>16.5</v>
      </c>
      <c r="S73" s="181">
        <f t="shared" si="41"/>
        <v>17.5</v>
      </c>
      <c r="T73" s="181">
        <f t="shared" si="41"/>
        <v>18.5</v>
      </c>
      <c r="U73" s="181">
        <f t="shared" si="41"/>
        <v>19.5</v>
      </c>
      <c r="V73" s="181">
        <f t="shared" si="41"/>
        <v>20.5</v>
      </c>
      <c r="W73" s="181">
        <f t="shared" si="41"/>
        <v>21.5</v>
      </c>
      <c r="X73" s="181">
        <f t="shared" si="41"/>
        <v>22.5</v>
      </c>
      <c r="Y73" s="181">
        <f t="shared" si="41"/>
        <v>23.5</v>
      </c>
      <c r="Z73" s="181">
        <f t="shared" si="41"/>
        <v>24.5</v>
      </c>
      <c r="AA73" s="181">
        <f t="shared" si="41"/>
        <v>25.5</v>
      </c>
      <c r="AB73" s="181">
        <f t="shared" si="41"/>
        <v>26.5</v>
      </c>
      <c r="AC73" s="181">
        <f t="shared" si="41"/>
        <v>27.5</v>
      </c>
      <c r="AD73" s="181">
        <f t="shared" si="41"/>
        <v>28.5</v>
      </c>
      <c r="AE73" s="181">
        <f t="shared" si="41"/>
        <v>29.5</v>
      </c>
      <c r="AF73" s="181">
        <f t="shared" si="41"/>
        <v>30.5</v>
      </c>
      <c r="AG73" s="181">
        <f t="shared" si="41"/>
        <v>31.5</v>
      </c>
    </row>
    <row r="74" spans="1:45" x14ac:dyDescent="0.2">
      <c r="A74" s="167" t="s">
        <v>268</v>
      </c>
      <c r="B74" s="168">
        <f t="shared" ref="B74:AG74" si="42">B58</f>
        <v>1</v>
      </c>
      <c r="C74" s="168">
        <f t="shared" si="42"/>
        <v>2</v>
      </c>
      <c r="D74" s="168">
        <f t="shared" si="42"/>
        <v>3</v>
      </c>
      <c r="E74" s="168">
        <f t="shared" si="42"/>
        <v>4</v>
      </c>
      <c r="F74" s="168">
        <f t="shared" si="42"/>
        <v>5</v>
      </c>
      <c r="G74" s="168">
        <f t="shared" si="42"/>
        <v>6</v>
      </c>
      <c r="H74" s="168">
        <f t="shared" si="42"/>
        <v>7</v>
      </c>
      <c r="I74" s="168">
        <f t="shared" si="42"/>
        <v>8</v>
      </c>
      <c r="J74" s="168">
        <f t="shared" si="42"/>
        <v>9</v>
      </c>
      <c r="K74" s="168">
        <f t="shared" si="42"/>
        <v>10</v>
      </c>
      <c r="L74" s="168">
        <f t="shared" si="42"/>
        <v>11</v>
      </c>
      <c r="M74" s="168">
        <f t="shared" si="42"/>
        <v>12</v>
      </c>
      <c r="N74" s="168">
        <f t="shared" si="42"/>
        <v>13</v>
      </c>
      <c r="O74" s="168">
        <f t="shared" si="42"/>
        <v>14</v>
      </c>
      <c r="P74" s="168">
        <f t="shared" si="42"/>
        <v>15</v>
      </c>
      <c r="Q74" s="168">
        <f t="shared" si="42"/>
        <v>16</v>
      </c>
      <c r="R74" s="168">
        <f t="shared" si="42"/>
        <v>17</v>
      </c>
      <c r="S74" s="168">
        <f t="shared" si="42"/>
        <v>18</v>
      </c>
      <c r="T74" s="168">
        <f t="shared" si="42"/>
        <v>19</v>
      </c>
      <c r="U74" s="168">
        <f t="shared" si="42"/>
        <v>20</v>
      </c>
      <c r="V74" s="168">
        <f t="shared" si="42"/>
        <v>21</v>
      </c>
      <c r="W74" s="168">
        <f t="shared" si="42"/>
        <v>22</v>
      </c>
      <c r="X74" s="168">
        <f t="shared" si="42"/>
        <v>23</v>
      </c>
      <c r="Y74" s="168">
        <f t="shared" si="42"/>
        <v>24</v>
      </c>
      <c r="Z74" s="168">
        <f t="shared" si="42"/>
        <v>25</v>
      </c>
      <c r="AA74" s="168">
        <f t="shared" si="42"/>
        <v>26</v>
      </c>
      <c r="AB74" s="168">
        <f t="shared" si="42"/>
        <v>27</v>
      </c>
      <c r="AC74" s="168">
        <f t="shared" si="42"/>
        <v>28</v>
      </c>
      <c r="AD74" s="168">
        <f t="shared" si="42"/>
        <v>29</v>
      </c>
      <c r="AE74" s="168">
        <f t="shared" si="42"/>
        <v>30</v>
      </c>
      <c r="AF74" s="168">
        <f t="shared" si="42"/>
        <v>31</v>
      </c>
      <c r="AG74" s="168">
        <f t="shared" si="42"/>
        <v>32</v>
      </c>
      <c r="AH74" s="125"/>
      <c r="AI74" s="125"/>
      <c r="AJ74" s="125"/>
      <c r="AK74" s="125"/>
      <c r="AL74" s="125"/>
      <c r="AM74" s="125"/>
      <c r="AN74" s="125"/>
      <c r="AO74" s="125"/>
      <c r="AP74" s="125"/>
      <c r="AQ74" s="125"/>
      <c r="AR74" s="125"/>
      <c r="AS74" s="125"/>
    </row>
    <row r="75" spans="1:45" ht="28.5" x14ac:dyDescent="0.2">
      <c r="A75" s="175" t="s">
        <v>267</v>
      </c>
      <c r="B75" s="205">
        <f t="shared" ref="B75:AG75" si="43">B68</f>
        <v>0</v>
      </c>
      <c r="C75" s="205">
        <f t="shared" si="43"/>
        <v>0</v>
      </c>
      <c r="D75" s="205">
        <f>D68</f>
        <v>-413849.43466666673</v>
      </c>
      <c r="E75" s="205">
        <f t="shared" si="43"/>
        <v>134770.0480201586</v>
      </c>
      <c r="F75" s="205">
        <f t="shared" si="43"/>
        <v>803005.24990198773</v>
      </c>
      <c r="G75" s="205">
        <f t="shared" si="43"/>
        <v>1159861122.0957322</v>
      </c>
      <c r="H75" s="205">
        <f t="shared" si="43"/>
        <v>943725.51637740666</v>
      </c>
      <c r="I75" s="205">
        <f t="shared" si="43"/>
        <v>812871.9153549883</v>
      </c>
      <c r="J75" s="205">
        <f t="shared" si="43"/>
        <v>1066412.8143168499</v>
      </c>
      <c r="K75" s="205">
        <f t="shared" si="43"/>
        <v>1131853.6983191138</v>
      </c>
      <c r="L75" s="205">
        <f t="shared" si="43"/>
        <v>1200187.6570464396</v>
      </c>
      <c r="M75" s="205">
        <f t="shared" si="43"/>
        <v>1271542.5903811778</v>
      </c>
      <c r="N75" s="205">
        <f t="shared" si="43"/>
        <v>1346052.0525290063</v>
      </c>
      <c r="O75" s="205">
        <f t="shared" si="43"/>
        <v>1176419.100133152</v>
      </c>
      <c r="P75" s="205">
        <f t="shared" si="43"/>
        <v>1505098.5625854777</v>
      </c>
      <c r="Q75" s="205">
        <f t="shared" si="43"/>
        <v>1589933.2960124679</v>
      </c>
      <c r="R75" s="205">
        <f t="shared" si="43"/>
        <v>1678518.4864637938</v>
      </c>
      <c r="S75" s="205">
        <f t="shared" si="43"/>
        <v>1771019.9378186348</v>
      </c>
      <c r="T75" s="205">
        <f t="shared" si="43"/>
        <v>1867610.7839765316</v>
      </c>
      <c r="U75" s="205">
        <f t="shared" si="43"/>
        <v>1647705.9566450762</v>
      </c>
      <c r="V75" s="205">
        <f t="shared" si="43"/>
        <v>2073791.8050438385</v>
      </c>
      <c r="W75" s="205">
        <f t="shared" si="43"/>
        <v>2183767.8865921805</v>
      </c>
      <c r="X75" s="205">
        <f t="shared" si="43"/>
        <v>2298605.8985184468</v>
      </c>
      <c r="Y75" s="205">
        <f t="shared" si="43"/>
        <v>2418520.7818049598</v>
      </c>
      <c r="Z75" s="205">
        <f t="shared" si="43"/>
        <v>2543736.9797556042</v>
      </c>
      <c r="AA75" s="205">
        <f t="shared" si="43"/>
        <v>2258661.8666913146</v>
      </c>
      <c r="AB75" s="205">
        <f t="shared" si="43"/>
        <v>2811021.1435719822</v>
      </c>
      <c r="AC75" s="205">
        <f t="shared" si="43"/>
        <v>2953589.3821241348</v>
      </c>
      <c r="AD75" s="205">
        <f t="shared" si="43"/>
        <v>3102460.417067877</v>
      </c>
      <c r="AE75" s="205">
        <f t="shared" si="43"/>
        <v>3257912.8886021557</v>
      </c>
      <c r="AF75" s="205">
        <f t="shared" si="43"/>
        <v>3420237.7553248722</v>
      </c>
      <c r="AG75" s="205">
        <f t="shared" si="43"/>
        <v>3050678.7007338377</v>
      </c>
      <c r="AH75" s="125"/>
      <c r="AI75" s="125"/>
      <c r="AJ75" s="125"/>
      <c r="AK75" s="125"/>
      <c r="AL75" s="125"/>
      <c r="AM75" s="125"/>
      <c r="AN75" s="125"/>
      <c r="AO75" s="125"/>
      <c r="AP75" s="125"/>
      <c r="AQ75" s="125"/>
      <c r="AR75" s="125"/>
      <c r="AS75" s="125"/>
    </row>
    <row r="76" spans="1:45" x14ac:dyDescent="0.2">
      <c r="A76" s="176" t="s">
        <v>266</v>
      </c>
      <c r="B76" s="204">
        <f t="shared" ref="B76:AG76" si="44">-B67</f>
        <v>0</v>
      </c>
      <c r="C76" s="204">
        <f>-C67</f>
        <v>0</v>
      </c>
      <c r="D76" s="204">
        <f>-D67</f>
        <v>413849.43466666673</v>
      </c>
      <c r="E76" s="204">
        <f t="shared" si="44"/>
        <v>413849.43466666673</v>
      </c>
      <c r="F76" s="204">
        <f>-C67</f>
        <v>0</v>
      </c>
      <c r="G76" s="204">
        <f t="shared" si="44"/>
        <v>413849.43466666673</v>
      </c>
      <c r="H76" s="204">
        <f t="shared" si="44"/>
        <v>413849.43466666673</v>
      </c>
      <c r="I76" s="204">
        <f t="shared" si="44"/>
        <v>413849.43466666673</v>
      </c>
      <c r="J76" s="204">
        <f t="shared" si="44"/>
        <v>413849.43466666673</v>
      </c>
      <c r="K76" s="204">
        <f t="shared" si="44"/>
        <v>413849.43466666673</v>
      </c>
      <c r="L76" s="204">
        <f>-L67</f>
        <v>413849.43466666673</v>
      </c>
      <c r="M76" s="204">
        <f>-M67</f>
        <v>413849.43466666673</v>
      </c>
      <c r="N76" s="204">
        <f t="shared" si="44"/>
        <v>413849.43466666673</v>
      </c>
      <c r="O76" s="204">
        <f t="shared" si="44"/>
        <v>413849.43466666673</v>
      </c>
      <c r="P76" s="204">
        <f t="shared" si="44"/>
        <v>413849.43466666673</v>
      </c>
      <c r="Q76" s="204">
        <f t="shared" si="44"/>
        <v>413849.43466666673</v>
      </c>
      <c r="R76" s="204">
        <f t="shared" si="44"/>
        <v>413849.43466666673</v>
      </c>
      <c r="S76" s="204">
        <f t="shared" si="44"/>
        <v>413849.43466666673</v>
      </c>
      <c r="T76" s="204">
        <f t="shared" si="44"/>
        <v>413849.43466666673</v>
      </c>
      <c r="U76" s="204">
        <f t="shared" si="44"/>
        <v>413849.43466666673</v>
      </c>
      <c r="V76" s="204">
        <f t="shared" si="44"/>
        <v>413849.43466666673</v>
      </c>
      <c r="W76" s="204">
        <f t="shared" si="44"/>
        <v>413849.43466666673</v>
      </c>
      <c r="X76" s="204">
        <f t="shared" si="44"/>
        <v>413849.43466666673</v>
      </c>
      <c r="Y76" s="204">
        <f t="shared" si="44"/>
        <v>413849.43466666673</v>
      </c>
      <c r="Z76" s="204">
        <f t="shared" si="44"/>
        <v>413849.43466666673</v>
      </c>
      <c r="AA76" s="204">
        <f t="shared" si="44"/>
        <v>413849.43466666673</v>
      </c>
      <c r="AB76" s="204">
        <f t="shared" si="44"/>
        <v>413849.43466666673</v>
      </c>
      <c r="AC76" s="204">
        <f t="shared" si="44"/>
        <v>413849.43466666673</v>
      </c>
      <c r="AD76" s="204">
        <f t="shared" si="44"/>
        <v>413849.43466666673</v>
      </c>
      <c r="AE76" s="204">
        <f t="shared" si="44"/>
        <v>413849.43466666673</v>
      </c>
      <c r="AF76" s="204">
        <f t="shared" si="44"/>
        <v>413849.43466666673</v>
      </c>
      <c r="AG76" s="204">
        <f t="shared" si="44"/>
        <v>413849.43466666673</v>
      </c>
      <c r="AH76" s="125"/>
      <c r="AI76" s="125"/>
      <c r="AJ76" s="125"/>
      <c r="AK76" s="125"/>
      <c r="AL76" s="125"/>
      <c r="AM76" s="125"/>
      <c r="AN76" s="125"/>
      <c r="AO76" s="125"/>
      <c r="AP76" s="125"/>
      <c r="AQ76" s="125"/>
      <c r="AR76" s="125"/>
      <c r="AS76" s="125"/>
    </row>
    <row r="77" spans="1:45" x14ac:dyDescent="0.2">
      <c r="A77" s="176" t="s">
        <v>265</v>
      </c>
      <c r="B77" s="204">
        <f t="shared" ref="B77:AG77" si="45">B69</f>
        <v>0</v>
      </c>
      <c r="C77" s="204">
        <f t="shared" si="45"/>
        <v>0</v>
      </c>
      <c r="D77" s="204">
        <f t="shared" si="45"/>
        <v>0</v>
      </c>
      <c r="E77" s="204">
        <f t="shared" si="45"/>
        <v>0</v>
      </c>
      <c r="F77" s="204">
        <f t="shared" si="45"/>
        <v>0</v>
      </c>
      <c r="G77" s="204">
        <f t="shared" si="45"/>
        <v>0</v>
      </c>
      <c r="H77" s="204">
        <f t="shared" si="45"/>
        <v>0</v>
      </c>
      <c r="I77" s="204">
        <f t="shared" si="45"/>
        <v>0</v>
      </c>
      <c r="J77" s="204">
        <f t="shared" si="45"/>
        <v>0</v>
      </c>
      <c r="K77" s="204">
        <f t="shared" si="45"/>
        <v>0</v>
      </c>
      <c r="L77" s="204">
        <f t="shared" si="45"/>
        <v>0</v>
      </c>
      <c r="M77" s="204">
        <f t="shared" si="45"/>
        <v>0</v>
      </c>
      <c r="N77" s="204">
        <f t="shared" si="45"/>
        <v>0</v>
      </c>
      <c r="O77" s="204">
        <f t="shared" si="45"/>
        <v>0</v>
      </c>
      <c r="P77" s="204">
        <f t="shared" si="45"/>
        <v>0</v>
      </c>
      <c r="Q77" s="204">
        <f t="shared" si="45"/>
        <v>0</v>
      </c>
      <c r="R77" s="204">
        <f t="shared" si="45"/>
        <v>0</v>
      </c>
      <c r="S77" s="204">
        <f t="shared" si="45"/>
        <v>0</v>
      </c>
      <c r="T77" s="204">
        <f t="shared" si="45"/>
        <v>0</v>
      </c>
      <c r="U77" s="204">
        <f t="shared" si="45"/>
        <v>0</v>
      </c>
      <c r="V77" s="204">
        <f t="shared" si="45"/>
        <v>0</v>
      </c>
      <c r="W77" s="204">
        <f t="shared" si="45"/>
        <v>0</v>
      </c>
      <c r="X77" s="204">
        <f t="shared" si="45"/>
        <v>0</v>
      </c>
      <c r="Y77" s="204">
        <f t="shared" si="45"/>
        <v>0</v>
      </c>
      <c r="Z77" s="204">
        <f t="shared" si="45"/>
        <v>0</v>
      </c>
      <c r="AA77" s="204">
        <f t="shared" si="45"/>
        <v>0</v>
      </c>
      <c r="AB77" s="204">
        <f t="shared" si="45"/>
        <v>0</v>
      </c>
      <c r="AC77" s="204">
        <f t="shared" si="45"/>
        <v>0</v>
      </c>
      <c r="AD77" s="204">
        <f t="shared" si="45"/>
        <v>0</v>
      </c>
      <c r="AE77" s="204">
        <f t="shared" si="45"/>
        <v>0</v>
      </c>
      <c r="AF77" s="204">
        <f t="shared" si="45"/>
        <v>0</v>
      </c>
      <c r="AG77" s="204">
        <f t="shared" si="45"/>
        <v>0</v>
      </c>
      <c r="AH77" s="125"/>
      <c r="AI77" s="125"/>
      <c r="AJ77" s="125"/>
      <c r="AK77" s="125"/>
      <c r="AL77" s="125"/>
      <c r="AM77" s="125"/>
      <c r="AN77" s="125"/>
      <c r="AO77" s="125"/>
      <c r="AP77" s="125"/>
      <c r="AQ77" s="125"/>
      <c r="AR77" s="125"/>
      <c r="AS77" s="125"/>
    </row>
    <row r="78" spans="1:45" x14ac:dyDescent="0.2">
      <c r="A78" s="176" t="s">
        <v>264</v>
      </c>
      <c r="B78" s="204">
        <f>IF(SUM($B$71:B71)+SUM($A$78:A78)&gt;0,0,SUM($B$71:B71)-SUM($A$78:A78))</f>
        <v>0</v>
      </c>
      <c r="C78" s="204">
        <f>IF(SUM($B$71:C71)+SUM($A$78:B78)&gt;0,0,SUM($B$71:C71)-SUM($A$78:B78))</f>
        <v>0</v>
      </c>
      <c r="D78" s="204">
        <f>IF(SUM($B$71:D71)+SUM($A$78:C78)&gt;0,0,SUM($B$71:D71)-SUM($A$78:C78))</f>
        <v>0</v>
      </c>
      <c r="E78" s="204">
        <f>IF(SUM($B$71:E71)+SUM($A$78:D78)&gt;0,0,SUM($B$71:E71)-SUM($A$78:D78))</f>
        <v>0</v>
      </c>
      <c r="F78" s="204">
        <f>IF(SUM($B$71:F71)+SUM($A$78:E78)&gt;0,0,SUM($B$71:F71)-SUM($A$78:E78))</f>
        <v>-104785.17265109593</v>
      </c>
      <c r="G78" s="204">
        <f>IF(SUM($B$71:G71)+SUM($A$78:F78)&gt;0,0,SUM($B$71:G71)-SUM($A$78:F78))</f>
        <v>-231972224.41914645</v>
      </c>
      <c r="H78" s="204">
        <f>IF(SUM($B$71:H71)+SUM($A$78:G78)&gt;0,0,SUM($B$71:H71)-SUM($A$78:G78))</f>
        <v>-188745.10327547789</v>
      </c>
      <c r="I78" s="204">
        <f>IF(SUM($B$71:I71)+SUM($A$78:H78)&gt;0,0,SUM($B$71:I71)-SUM($A$78:H78))</f>
        <v>-162574.38307100534</v>
      </c>
      <c r="J78" s="204">
        <f>IF(SUM($B$71:J71)+SUM($A$78:I78)&gt;0,0,SUM($B$71:J71)-SUM($A$78:I78))</f>
        <v>-213282.56286337972</v>
      </c>
      <c r="K78" s="204">
        <f>IF(SUM($B$71:K71)+SUM($A$78:J78)&gt;0,0,SUM($B$71:K71)-SUM($A$78:J78))</f>
        <v>-226370.73966380954</v>
      </c>
      <c r="L78" s="204">
        <f>IF(SUM($B$71:L71)+SUM($A$78:K78)&gt;0,0,SUM($B$71:L71)-SUM($A$78:K78))</f>
        <v>-240037.53140929341</v>
      </c>
      <c r="M78" s="204">
        <f>IF(SUM($B$71:M71)+SUM($A$78:L78)&gt;0,0,SUM($B$71:M71)-SUM($A$78:L78))</f>
        <v>-254308.51807624102</v>
      </c>
      <c r="N78" s="204">
        <f>IF(SUM($B$71:N71)+SUM($A$78:M78)&gt;0,0,SUM($B$71:N71)-SUM($A$78:M78))</f>
        <v>-269210.41050580144</v>
      </c>
      <c r="O78" s="204">
        <f>IF(SUM($B$71:O71)+SUM($A$78:N78)&gt;0,0,SUM($B$71:O71)-SUM($A$78:N78))</f>
        <v>-235283.82002663612</v>
      </c>
      <c r="P78" s="204">
        <f>IF(SUM($B$71:P71)+SUM($A$78:O78)&gt;0,0,SUM($B$71:P71)-SUM($A$78:O78))</f>
        <v>-301019.71251708269</v>
      </c>
      <c r="Q78" s="204">
        <f>IF(SUM($B$71:Q71)+SUM($A$78:P78)&gt;0,0,SUM($B$71:Q71)-SUM($A$78:P78))</f>
        <v>-317986.65920248628</v>
      </c>
      <c r="R78" s="204">
        <f>IF(SUM($B$71:R71)+SUM($A$78:Q78)&gt;0,0,SUM($B$71:R71)-SUM($A$78:Q78))</f>
        <v>-335703.69729274511</v>
      </c>
      <c r="S78" s="204">
        <f>IF(SUM($B$71:S71)+SUM($A$78:R78)&gt;0,0,SUM($B$71:S71)-SUM($A$78:R78))</f>
        <v>-354203.98756372929</v>
      </c>
      <c r="T78" s="204">
        <f>IF(SUM($B$71:T71)+SUM($A$78:S78)&gt;0,0,SUM($B$71:T71)-SUM($A$78:S78))</f>
        <v>-373522.15679529309</v>
      </c>
      <c r="U78" s="204">
        <f>IF(SUM($B$71:U71)+SUM($A$78:T78)&gt;0,0,SUM($B$71:U71)-SUM($A$78:T78))</f>
        <v>-329541.19132900238</v>
      </c>
      <c r="V78" s="204">
        <f>IF(SUM($B$71:V71)+SUM($A$78:U78)&gt;0,0,SUM($B$71:V71)-SUM($A$78:U78))</f>
        <v>-414758.36100876331</v>
      </c>
      <c r="W78" s="204">
        <f>IF(SUM($B$71:W71)+SUM($A$78:V78)&gt;0,0,SUM($B$71:W71)-SUM($A$78:V78))</f>
        <v>-436753.57731842995</v>
      </c>
      <c r="X78" s="204">
        <f>IF(SUM($B$71:X71)+SUM($A$78:W78)&gt;0,0,SUM($B$71:X71)-SUM($A$78:W78))</f>
        <v>-459721.17970368266</v>
      </c>
      <c r="Y78" s="204">
        <f>IF(SUM($B$71:Y71)+SUM($A$78:X78)&gt;0,0,SUM($B$71:Y71)-SUM($A$78:X78))</f>
        <v>-483704.15636098385</v>
      </c>
      <c r="Z78" s="204">
        <f>IF(SUM($B$71:Z71)+SUM($A$78:Y78)&gt;0,0,SUM($B$71:Z71)-SUM($A$78:Y78))</f>
        <v>-508747.39595112205</v>
      </c>
      <c r="AA78" s="204">
        <f>IF(SUM($B$71:AA71)+SUM($A$78:Z78)&gt;0,0,SUM($B$71:AA71)-SUM($A$78:Z78))</f>
        <v>-451732.37333825231</v>
      </c>
      <c r="AB78" s="204">
        <f>IF(SUM($B$71:AB71)+SUM($A$78:AA78)&gt;0,0,SUM($B$71:AB71)-SUM($A$78:AA78))</f>
        <v>-562204.22871440649</v>
      </c>
      <c r="AC78" s="204">
        <f>IF(SUM($B$71:AC71)+SUM($A$78:AB78)&gt;0,0,SUM($B$71:AC71)-SUM($A$78:AB78))</f>
        <v>-590717.87642481923</v>
      </c>
      <c r="AD78" s="204">
        <f>IF(SUM($B$71:AD71)+SUM($A$78:AC78)&gt;0,0,SUM($B$71:AD71)-SUM($A$78:AC78))</f>
        <v>-620492.08341357112</v>
      </c>
      <c r="AE78" s="204">
        <f>IF(SUM($B$71:AE71)+SUM($A$78:AD78)&gt;0,0,SUM($B$71:AE71)-SUM($A$78:AD78))</f>
        <v>-651582.57772043347</v>
      </c>
      <c r="AF78" s="204">
        <f>IF(SUM($B$71:AF71)+SUM($A$78:AE78)&gt;0,0,SUM($B$71:AF71)-SUM($A$78:AE78))</f>
        <v>-684047.55106496811</v>
      </c>
      <c r="AG78" s="204">
        <f>IF(SUM($B$71:AG71)+SUM($A$78:AF78)&gt;0,0,SUM($B$71:AG71)-SUM($A$78:AF78))</f>
        <v>-610135.74014675617</v>
      </c>
      <c r="AH78" s="125"/>
      <c r="AI78" s="125"/>
      <c r="AJ78" s="125"/>
      <c r="AK78" s="125"/>
      <c r="AL78" s="125"/>
      <c r="AM78" s="125"/>
      <c r="AN78" s="125"/>
      <c r="AO78" s="125"/>
      <c r="AP78" s="125"/>
      <c r="AQ78" s="125"/>
      <c r="AR78" s="125"/>
      <c r="AS78" s="125"/>
    </row>
    <row r="79" spans="1:45" x14ac:dyDescent="0.2">
      <c r="A79" s="176" t="s">
        <v>263</v>
      </c>
      <c r="B79" s="204"/>
      <c r="C79" s="204"/>
      <c r="D79" s="204"/>
      <c r="E79" s="204"/>
      <c r="F79" s="204"/>
      <c r="G79" s="204"/>
      <c r="H79" s="204">
        <f>IF(((SUM($B$59:H59)+SUM($B$61:H64))+SUM($B$81:H81))&lt;0,((SUM($B$59:H59)+SUM($B$61:H64))+SUM($B$81:H81))*0.2-SUM($A$79:G79),IF(SUM($B$79:G79)&lt;0,0-SUM($B$79:G79),0))</f>
        <v>0</v>
      </c>
      <c r="I79" s="204">
        <f>IF(((SUM($B$59:I59)+SUM($B$61:I64))+SUM($B$81:I81))&lt;0,((SUM($B$59:I59)+SUM($B$61:I64))+SUM($B$81:I81))*0.2-SUM($A$79:H79),IF(SUM($B$79:H79)&lt;0,0-SUM($B$79:H79),0))</f>
        <v>0</v>
      </c>
      <c r="J79" s="204">
        <f>IF(((SUM($B$59:J59)+SUM($B$61:J64))+SUM($B$81:J81))&lt;0,((SUM($B$59:J59)+SUM($B$61:J64))+SUM($B$81:J81))*0.2-SUM($A$79:I79),IF(SUM($B$79:I79)&lt;0,0-SUM($B$79:I79),0))</f>
        <v>0</v>
      </c>
      <c r="K79" s="204">
        <f>IF(((SUM($B$59:K59)+SUM($B$61:K64))+SUM($B$81:K81))&lt;0,((SUM($B$59:K59)+SUM($B$61:K64))+SUM($B$81:K81))*0.2-SUM($A$79:J79),IF(SUM($B$79:J79)&lt;0,0-SUM($B$79:J79),0))</f>
        <v>0</v>
      </c>
      <c r="L79" s="204">
        <f>IF(((SUM($B$59:L59)+SUM($B$61:L64))+SUM($B$81:L81))&lt;0,((SUM($B$59:L59)+SUM($B$61:L64))+SUM($B$81:L81))*0.2-SUM($A$79:K79),IF(SUM($B$79:K79)&lt;0,0-SUM($B$79:K79),0))</f>
        <v>0</v>
      </c>
      <c r="M79" s="204">
        <f>IF(((SUM($B$59:M59)+SUM($B$61:M64))+SUM($B$81:M81))&lt;0,((SUM($B$59:M59)+SUM($B$61:M64))+SUM($B$81:M81))*0.2-SUM($A$79:L79),IF(SUM($B$79:L79)&lt;0,0-SUM($B$79:L79),0))</f>
        <v>0</v>
      </c>
      <c r="N79" s="204">
        <f>IF(((SUM($B$59:N59)+SUM($B$61:N64))+SUM($B$81:N81))&lt;0,((SUM($B$59:N59)+SUM($B$61:N64))+SUM($B$81:N81))*0.2-SUM($A$79:M79),IF(SUM($B$79:M79)&lt;0,0-SUM($B$79:M79),0))</f>
        <v>0</v>
      </c>
      <c r="O79" s="204">
        <f>IF(((SUM($B$59:O59)+SUM($B$61:O64))+SUM($B$81:O81))&lt;0,((SUM($B$59:O59)+SUM($B$61:O64))+SUM($B$81:O81))*0.2-SUM($A$79:N79),IF(SUM($B$79:N79)&lt;0,0-SUM($B$79:N79),0))</f>
        <v>0</v>
      </c>
      <c r="P79" s="204">
        <f>IF(((SUM($B$59:P59)+SUM($B$61:P64))+SUM($B$81:P81))&lt;0,((SUM($B$59:P59)+SUM($B$61:P64))+SUM($B$81:P81))*0.2-SUM($A$79:O79),IF(SUM($B$79:O79)&lt;0,0-SUM($B$79:O79),0))</f>
        <v>0</v>
      </c>
      <c r="Q79" s="204">
        <f>IF(((SUM($B$59:Q59)+SUM($B$61:Q64))+SUM($B$81:Q81))&lt;0,((SUM($B$59:Q59)+SUM($B$61:Q64))+SUM($B$81:Q81))*0.2-SUM($A$79:P79),IF(SUM($B$79:P79)&lt;0,0-SUM($B$79:P79),0))</f>
        <v>0</v>
      </c>
      <c r="R79" s="204">
        <f>IF(((SUM($B$59:R59)+SUM($B$61:R64))+SUM($B$81:R81))&lt;0,((SUM($B$59:R59)+SUM($B$61:R64))+SUM($B$81:R81))*0.2-SUM($A$79:Q79),IF(SUM($B$79:Q79)&lt;0,0-SUM($B$79:Q79),0))</f>
        <v>0</v>
      </c>
      <c r="S79" s="204">
        <f>IF(((SUM($B$59:S59)+SUM($B$61:S64))+SUM($B$81:S81))&lt;0,((SUM($B$59:S59)+SUM($B$61:S64))+SUM($B$81:S81))*0.2-SUM($A$79:R79),IF(SUM($B$79:R79)&lt;0,0-SUM($B$79:R79),0))</f>
        <v>0</v>
      </c>
      <c r="T79" s="204">
        <f>IF(((SUM($B$59:T59)+SUM($B$61:T64))+SUM($B$81:T81))&lt;0,((SUM($B$59:T59)+SUM($B$61:T64))+SUM($B$81:T81))*0.2-SUM($A$79:S79),IF(SUM($B$79:S79)&lt;0,0-SUM($B$79:S79),0))</f>
        <v>0</v>
      </c>
      <c r="U79" s="204">
        <f>IF(((SUM($B$59:U59)+SUM($B$61:U64))+SUM($B$81:U81))&lt;0,((SUM($B$59:U59)+SUM($B$61:U64))+SUM($B$81:U81))*0.2-SUM($A$79:T79),IF(SUM($B$79:T79)&lt;0,0-SUM($B$79:T79),0))</f>
        <v>0</v>
      </c>
      <c r="V79" s="204">
        <f>IF(((SUM($B$59:V59)+SUM($B$61:V64))+SUM($B$81:V81))&lt;0,((SUM($B$59:V59)+SUM($B$61:V64))+SUM($B$81:V81))*0.2-SUM($A$79:U79),IF(SUM($B$79:U79)&lt;0,0-SUM($B$79:U79),0))</f>
        <v>0</v>
      </c>
      <c r="W79" s="204">
        <f>IF(((SUM($B$59:W59)+SUM($B$61:W64))+SUM($B$81:W81))&lt;0,((SUM($B$59:W59)+SUM($B$61:W64))+SUM($B$81:W81))*0.2-SUM($A$79:V79),IF(SUM($B$79:V79)&lt;0,0-SUM($B$79:V79),0))</f>
        <v>0</v>
      </c>
      <c r="X79" s="204">
        <f>IF(((SUM($B$59:X59)+SUM($B$61:X64))+SUM($B$81:X81))&lt;0,((SUM($B$59:X59)+SUM($B$61:X64))+SUM($B$81:X81))*0.2-SUM($A$79:W79),IF(SUM($B$79:W79)&lt;0,0-SUM($B$79:W79),0))</f>
        <v>0</v>
      </c>
      <c r="Y79" s="204">
        <f>IF(((SUM($B$59:Y59)+SUM($B$61:Y64))+SUM($B$81:Y81))&lt;0,((SUM($B$59:Y59)+SUM($B$61:Y64))+SUM($B$81:Y81))*0.2-SUM($A$79:X79),IF(SUM($B$79:X79)&lt;0,0-SUM($B$79:X79),0))</f>
        <v>0</v>
      </c>
      <c r="Z79" s="204">
        <f>IF(((SUM($B$59:Z59)+SUM($B$61:Z64))+SUM($B$81:Z81))&lt;0,((SUM($B$59:Z59)+SUM($B$61:Z64))+SUM($B$81:Z81))*0.2-SUM($A$79:Y79),IF(SUM($B$79:Y79)&lt;0,0-SUM($B$79:Y79),0))</f>
        <v>0</v>
      </c>
      <c r="AA79" s="204">
        <f>IF(((SUM($B$59:AA59)+SUM($B$61:AA64))+SUM($B$81:AA81))&lt;0,((SUM($B$59:AA59)+SUM($B$61:AA64))+SUM($B$81:AA81))*0.2-SUM($A$79:Z79),IF(SUM($B$79:Z79)&lt;0,0-SUM($B$79:Z79),0))</f>
        <v>0</v>
      </c>
      <c r="AB79" s="204">
        <f>IF(((SUM($B$59:AB59)+SUM($B$61:AB64))+SUM($B$81:AB81))&lt;0,((SUM($B$59:AB59)+SUM($B$61:AB64))+SUM($B$81:AB81))*0.2-SUM($A$79:AA79),IF(SUM($B$79:AA79)&lt;0,0-SUM($B$79:AA79),0))</f>
        <v>0</v>
      </c>
      <c r="AC79" s="204">
        <f>IF(((SUM($B$59:AC59)+SUM($B$61:AC64))+SUM($B$81:AC81))&lt;0,((SUM($B$59:AC59)+SUM($B$61:AC64))+SUM($B$81:AC81))*0.2-SUM($A$79:AB79),IF(SUM($B$79:AB79)&lt;0,0-SUM($B$79:AB79),0))</f>
        <v>0</v>
      </c>
      <c r="AD79" s="204">
        <f>IF(((SUM($B$59:AD59)+SUM($B$61:AD64))+SUM($B$81:AD81))&lt;0,((SUM($B$59:AD59)+SUM($B$61:AD64))+SUM($B$81:AD81))*0.2-SUM($A$79:AC79),IF(SUM($B$79:AC79)&lt;0,0-SUM($B$79:AC79),0))</f>
        <v>0</v>
      </c>
      <c r="AE79" s="204">
        <f>IF(((SUM($B$59:AE59)+SUM($B$61:AE64))+SUM($B$81:AE81))&lt;0,((SUM($B$59:AE59)+SUM($B$61:AE64))+SUM($B$81:AE81))*0.2-SUM($A$79:AD79),IF(SUM($B$79:AD79)&lt;0,0-SUM($B$79:AD79),0))</f>
        <v>0</v>
      </c>
      <c r="AF79" s="204">
        <f>IF(((SUM($B$59:AF59)+SUM($B$61:AF64))+SUM($B$81:AF81))&lt;0,((SUM($B$59:AF59)+SUM($B$61:AF64))+SUM($B$81:AF81))*0.2-SUM($A$79:AE79),IF(SUM($B$79:AE79)&lt;0,0-SUM($B$79:AE79),0))</f>
        <v>0</v>
      </c>
      <c r="AG79" s="204">
        <f>IF(((SUM($B$59:AG59)+SUM($B$61:AG64))+SUM($B$81:AG81))&lt;0,((SUM($B$59:AG59)+SUM($B$61:AG64))+SUM($B$81:AG81))*0.2-SUM($A$79:AF79),IF(SUM($B$79:AF79)&lt;0,0-SUM($B$79:AF79),0))</f>
        <v>0</v>
      </c>
      <c r="AH79" s="125"/>
      <c r="AI79" s="125"/>
      <c r="AJ79" s="125"/>
      <c r="AK79" s="125"/>
      <c r="AL79" s="125"/>
      <c r="AM79" s="125"/>
      <c r="AN79" s="125"/>
      <c r="AO79" s="125"/>
      <c r="AP79" s="125"/>
      <c r="AQ79" s="125"/>
      <c r="AR79" s="125"/>
      <c r="AS79" s="125"/>
    </row>
    <row r="80" spans="1:45" x14ac:dyDescent="0.2">
      <c r="A80" s="176" t="s">
        <v>262</v>
      </c>
      <c r="B80" s="204">
        <f>-B59*(B39)</f>
        <v>0</v>
      </c>
      <c r="C80" s="204">
        <f t="shared" ref="C80:AG80" si="46">-(C59-B59)*$B$39</f>
        <v>0</v>
      </c>
      <c r="D80" s="204">
        <f t="shared" si="46"/>
        <v>0</v>
      </c>
      <c r="E80" s="204">
        <f t="shared" si="46"/>
        <v>0</v>
      </c>
      <c r="F80" s="204">
        <f t="shared" si="46"/>
        <v>0</v>
      </c>
      <c r="G80" s="204">
        <f t="shared" si="46"/>
        <v>0</v>
      </c>
      <c r="H80" s="204">
        <f t="shared" si="46"/>
        <v>0</v>
      </c>
      <c r="I80" s="204">
        <f t="shared" si="46"/>
        <v>0</v>
      </c>
      <c r="J80" s="204">
        <f t="shared" si="46"/>
        <v>0</v>
      </c>
      <c r="K80" s="204">
        <f t="shared" si="46"/>
        <v>0</v>
      </c>
      <c r="L80" s="204">
        <f t="shared" si="46"/>
        <v>0</v>
      </c>
      <c r="M80" s="204">
        <f t="shared" si="46"/>
        <v>0</v>
      </c>
      <c r="N80" s="204">
        <f t="shared" si="46"/>
        <v>0</v>
      </c>
      <c r="O80" s="204">
        <f t="shared" si="46"/>
        <v>0</v>
      </c>
      <c r="P80" s="204">
        <f t="shared" si="46"/>
        <v>0</v>
      </c>
      <c r="Q80" s="204">
        <f t="shared" si="46"/>
        <v>0</v>
      </c>
      <c r="R80" s="204">
        <f t="shared" si="46"/>
        <v>0</v>
      </c>
      <c r="S80" s="204">
        <f t="shared" si="46"/>
        <v>0</v>
      </c>
      <c r="T80" s="204">
        <f t="shared" si="46"/>
        <v>0</v>
      </c>
      <c r="U80" s="204">
        <f t="shared" si="46"/>
        <v>0</v>
      </c>
      <c r="V80" s="204">
        <f t="shared" si="46"/>
        <v>0</v>
      </c>
      <c r="W80" s="204">
        <f t="shared" si="46"/>
        <v>0</v>
      </c>
      <c r="X80" s="204">
        <f t="shared" si="46"/>
        <v>0</v>
      </c>
      <c r="Y80" s="204">
        <f t="shared" si="46"/>
        <v>0</v>
      </c>
      <c r="Z80" s="204">
        <f t="shared" si="46"/>
        <v>0</v>
      </c>
      <c r="AA80" s="204">
        <f t="shared" si="46"/>
        <v>0</v>
      </c>
      <c r="AB80" s="204">
        <f t="shared" si="46"/>
        <v>0</v>
      </c>
      <c r="AC80" s="204">
        <f t="shared" si="46"/>
        <v>0</v>
      </c>
      <c r="AD80" s="204">
        <f t="shared" si="46"/>
        <v>0</v>
      </c>
      <c r="AE80" s="204">
        <f t="shared" si="46"/>
        <v>0</v>
      </c>
      <c r="AF80" s="204">
        <f t="shared" si="46"/>
        <v>0</v>
      </c>
      <c r="AG80" s="204">
        <f t="shared" si="46"/>
        <v>0</v>
      </c>
      <c r="AH80" s="125"/>
      <c r="AI80" s="125"/>
      <c r="AJ80" s="125"/>
      <c r="AK80" s="125"/>
      <c r="AL80" s="125"/>
      <c r="AM80" s="125"/>
      <c r="AN80" s="125"/>
      <c r="AO80" s="125"/>
      <c r="AP80" s="125"/>
      <c r="AQ80" s="125"/>
      <c r="AR80" s="125"/>
      <c r="AS80" s="125"/>
    </row>
    <row r="81" spans="1:45" x14ac:dyDescent="0.2">
      <c r="A81" s="176" t="s">
        <v>572</v>
      </c>
      <c r="B81" s="204">
        <f>'6.2. Паспорт фин осв ввод'!H30*-1*1000000</f>
        <v>-335430.33999999997</v>
      </c>
      <c r="C81" s="204">
        <f>'6.2. Паспорт фин осв ввод'!L30*-1*1000000</f>
        <v>-12080052.699999999</v>
      </c>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125"/>
      <c r="AI81" s="125"/>
      <c r="AJ81" s="125"/>
      <c r="AK81" s="125"/>
      <c r="AL81" s="125"/>
      <c r="AM81" s="125"/>
      <c r="AN81" s="125"/>
      <c r="AO81" s="125"/>
      <c r="AP81" s="125"/>
      <c r="AQ81" s="125"/>
      <c r="AR81" s="125"/>
      <c r="AS81" s="125"/>
    </row>
    <row r="82" spans="1:45" x14ac:dyDescent="0.2">
      <c r="A82" s="176" t="s">
        <v>261</v>
      </c>
      <c r="B82" s="204">
        <f>B54-B55</f>
        <v>0</v>
      </c>
      <c r="C82" s="204">
        <f t="shared" ref="C82:AG82" si="47">C54-C55</f>
        <v>0</v>
      </c>
      <c r="D82" s="204">
        <f t="shared" si="47"/>
        <v>0</v>
      </c>
      <c r="E82" s="204">
        <f t="shared" si="47"/>
        <v>0</v>
      </c>
      <c r="F82" s="204">
        <f t="shared" si="47"/>
        <v>0</v>
      </c>
      <c r="G82" s="204">
        <f t="shared" si="47"/>
        <v>0</v>
      </c>
      <c r="H82" s="204">
        <f t="shared" si="47"/>
        <v>0</v>
      </c>
      <c r="I82" s="204">
        <f t="shared" si="47"/>
        <v>0</v>
      </c>
      <c r="J82" s="204">
        <f t="shared" si="47"/>
        <v>0</v>
      </c>
      <c r="K82" s="204">
        <f t="shared" si="47"/>
        <v>0</v>
      </c>
      <c r="L82" s="204">
        <f t="shared" si="47"/>
        <v>0</v>
      </c>
      <c r="M82" s="204">
        <f t="shared" si="47"/>
        <v>0</v>
      </c>
      <c r="N82" s="204">
        <f t="shared" si="47"/>
        <v>0</v>
      </c>
      <c r="O82" s="204">
        <f t="shared" si="47"/>
        <v>0</v>
      </c>
      <c r="P82" s="204">
        <f t="shared" si="47"/>
        <v>0</v>
      </c>
      <c r="Q82" s="204">
        <f t="shared" si="47"/>
        <v>0</v>
      </c>
      <c r="R82" s="204">
        <f t="shared" si="47"/>
        <v>0</v>
      </c>
      <c r="S82" s="204">
        <f t="shared" si="47"/>
        <v>0</v>
      </c>
      <c r="T82" s="204">
        <f t="shared" si="47"/>
        <v>0</v>
      </c>
      <c r="U82" s="204">
        <f t="shared" si="47"/>
        <v>0</v>
      </c>
      <c r="V82" s="204">
        <f t="shared" si="47"/>
        <v>0</v>
      </c>
      <c r="W82" s="204">
        <f t="shared" si="47"/>
        <v>0</v>
      </c>
      <c r="X82" s="204">
        <f t="shared" si="47"/>
        <v>0</v>
      </c>
      <c r="Y82" s="204">
        <f t="shared" si="47"/>
        <v>0</v>
      </c>
      <c r="Z82" s="204">
        <f t="shared" si="47"/>
        <v>0</v>
      </c>
      <c r="AA82" s="204">
        <f t="shared" si="47"/>
        <v>0</v>
      </c>
      <c r="AB82" s="204">
        <f t="shared" si="47"/>
        <v>0</v>
      </c>
      <c r="AC82" s="204">
        <f t="shared" si="47"/>
        <v>0</v>
      </c>
      <c r="AD82" s="204">
        <f t="shared" si="47"/>
        <v>0</v>
      </c>
      <c r="AE82" s="204">
        <f t="shared" si="47"/>
        <v>0</v>
      </c>
      <c r="AF82" s="204">
        <f t="shared" si="47"/>
        <v>0</v>
      </c>
      <c r="AG82" s="204">
        <f t="shared" si="47"/>
        <v>0</v>
      </c>
      <c r="AH82" s="125"/>
      <c r="AI82" s="125"/>
      <c r="AJ82" s="125"/>
      <c r="AK82" s="125"/>
      <c r="AL82" s="125"/>
      <c r="AM82" s="125"/>
      <c r="AN82" s="125"/>
      <c r="AO82" s="125"/>
      <c r="AP82" s="125"/>
      <c r="AQ82" s="125"/>
      <c r="AR82" s="125"/>
      <c r="AS82" s="125"/>
    </row>
    <row r="83" spans="1:45" ht="14.25" x14ac:dyDescent="0.2">
      <c r="A83" s="177" t="s">
        <v>260</v>
      </c>
      <c r="B83" s="205">
        <f>SUM(B75:B82)</f>
        <v>-335430.33999999997</v>
      </c>
      <c r="C83" s="205">
        <f t="shared" ref="C83:V83" si="48">SUM(C75:C82)</f>
        <v>-12080052.699999999</v>
      </c>
      <c r="D83" s="205">
        <f t="shared" si="48"/>
        <v>0</v>
      </c>
      <c r="E83" s="205">
        <f t="shared" si="48"/>
        <v>548619.48268682533</v>
      </c>
      <c r="F83" s="205">
        <f t="shared" si="48"/>
        <v>698220.07725089183</v>
      </c>
      <c r="G83" s="205">
        <f t="shared" si="48"/>
        <v>928302747.11125243</v>
      </c>
      <c r="H83" s="205">
        <f t="shared" si="48"/>
        <v>1168829.8477685954</v>
      </c>
      <c r="I83" s="205">
        <f t="shared" si="48"/>
        <v>1064146.9669506496</v>
      </c>
      <c r="J83" s="205">
        <f t="shared" si="48"/>
        <v>1266979.6861201369</v>
      </c>
      <c r="K83" s="205">
        <f t="shared" si="48"/>
        <v>1319332.3933219709</v>
      </c>
      <c r="L83" s="205">
        <f t="shared" si="48"/>
        <v>1373999.5603038128</v>
      </c>
      <c r="M83" s="205">
        <f t="shared" si="48"/>
        <v>1431083.5069716035</v>
      </c>
      <c r="N83" s="205">
        <f t="shared" si="48"/>
        <v>1490691.0766898715</v>
      </c>
      <c r="O83" s="205">
        <f t="shared" si="48"/>
        <v>1354984.7147731825</v>
      </c>
      <c r="P83" s="205">
        <f t="shared" si="48"/>
        <v>1617928.2847350617</v>
      </c>
      <c r="Q83" s="205">
        <f t="shared" si="48"/>
        <v>1685796.0714766483</v>
      </c>
      <c r="R83" s="205">
        <f t="shared" si="48"/>
        <v>1756664.2238377153</v>
      </c>
      <c r="S83" s="205">
        <f t="shared" si="48"/>
        <v>1830665.3849215722</v>
      </c>
      <c r="T83" s="205">
        <f t="shared" si="48"/>
        <v>1907938.0618479052</v>
      </c>
      <c r="U83" s="205">
        <f t="shared" si="48"/>
        <v>1732014.1999827405</v>
      </c>
      <c r="V83" s="205">
        <f t="shared" si="48"/>
        <v>2072882.8787017418</v>
      </c>
      <c r="W83" s="205">
        <f>SUM(W75:W82)</f>
        <v>2160863.7439404172</v>
      </c>
      <c r="X83" s="205">
        <f>SUM(X75:X82)</f>
        <v>2252734.1534814308</v>
      </c>
      <c r="Y83" s="205">
        <f>SUM(Y75:Y82)</f>
        <v>2348666.0601106426</v>
      </c>
      <c r="Z83" s="205">
        <f>SUM(Z75:Z82)</f>
        <v>2448839.0184711488</v>
      </c>
      <c r="AA83" s="205">
        <f t="shared" ref="AA83:AG83" si="49">SUM(AA75:AA82)</f>
        <v>2220778.928019729</v>
      </c>
      <c r="AB83" s="205">
        <f t="shared" si="49"/>
        <v>2662666.3495242423</v>
      </c>
      <c r="AC83" s="205">
        <f t="shared" si="49"/>
        <v>2776720.9403659822</v>
      </c>
      <c r="AD83" s="205">
        <f t="shared" si="49"/>
        <v>2895817.7683209726</v>
      </c>
      <c r="AE83" s="205">
        <f t="shared" si="49"/>
        <v>3020179.7455483889</v>
      </c>
      <c r="AF83" s="205">
        <f t="shared" si="49"/>
        <v>3150039.6389265708</v>
      </c>
      <c r="AG83" s="205">
        <f t="shared" si="49"/>
        <v>2854392.3952537482</v>
      </c>
      <c r="AH83" s="125"/>
      <c r="AI83" s="125"/>
      <c r="AJ83" s="125"/>
      <c r="AK83" s="125"/>
      <c r="AL83" s="125"/>
      <c r="AM83" s="125"/>
      <c r="AN83" s="125"/>
      <c r="AO83" s="125"/>
      <c r="AP83" s="125"/>
      <c r="AQ83" s="125"/>
      <c r="AR83" s="125"/>
      <c r="AS83" s="125"/>
    </row>
    <row r="84" spans="1:45" ht="14.25" x14ac:dyDescent="0.2">
      <c r="A84" s="177" t="s">
        <v>259</v>
      </c>
      <c r="B84" s="205">
        <f>SUM($B$83:B83)</f>
        <v>-335430.33999999997</v>
      </c>
      <c r="C84" s="205">
        <f>SUM($B$83:C83)</f>
        <v>-12415483.039999999</v>
      </c>
      <c r="D84" s="205">
        <f>SUM($B$83:D83)</f>
        <v>-12415483.039999999</v>
      </c>
      <c r="E84" s="205">
        <f>SUM($B$83:E83)</f>
        <v>-11866863.557313174</v>
      </c>
      <c r="F84" s="205">
        <f>SUM($B$83:F83)</f>
        <v>-11168643.480062282</v>
      </c>
      <c r="G84" s="205">
        <f>SUM($B$83:G83)</f>
        <v>917134103.63119018</v>
      </c>
      <c r="H84" s="205">
        <f>SUM($B$83:H83)</f>
        <v>918302933.47895873</v>
      </c>
      <c r="I84" s="205">
        <f>SUM($B$83:I83)</f>
        <v>919367080.44590938</v>
      </c>
      <c r="J84" s="205">
        <f>SUM($B$83:J83)</f>
        <v>920634060.13202953</v>
      </c>
      <c r="K84" s="205">
        <f>SUM($B$83:K83)</f>
        <v>921953392.52535152</v>
      </c>
      <c r="L84" s="205">
        <f>SUM($B$83:L83)</f>
        <v>923327392.08565533</v>
      </c>
      <c r="M84" s="205">
        <f>SUM($B$83:M83)</f>
        <v>924758475.59262693</v>
      </c>
      <c r="N84" s="205">
        <f>SUM($B$83:N83)</f>
        <v>926249166.66931677</v>
      </c>
      <c r="O84" s="205">
        <f>SUM($B$83:O83)</f>
        <v>927604151.38408995</v>
      </c>
      <c r="P84" s="205">
        <f>SUM($B$83:P83)</f>
        <v>929222079.66882503</v>
      </c>
      <c r="Q84" s="205">
        <f>SUM($B$83:Q83)</f>
        <v>930907875.74030173</v>
      </c>
      <c r="R84" s="205">
        <f>SUM($B$83:R83)</f>
        <v>932664539.96413946</v>
      </c>
      <c r="S84" s="205">
        <f>SUM($B$83:S83)</f>
        <v>934495205.34906101</v>
      </c>
      <c r="T84" s="205">
        <f>SUM($B$83:T83)</f>
        <v>936403143.41090894</v>
      </c>
      <c r="U84" s="205">
        <f>SUM($B$83:U83)</f>
        <v>938135157.6108917</v>
      </c>
      <c r="V84" s="205">
        <f>SUM($B$83:V83)</f>
        <v>940208040.48959339</v>
      </c>
      <c r="W84" s="205">
        <f>SUM($B$83:W83)</f>
        <v>942368904.23353386</v>
      </c>
      <c r="X84" s="205">
        <f>SUM($B$83:X83)</f>
        <v>944621638.38701534</v>
      </c>
      <c r="Y84" s="205">
        <f>SUM($B$83:Y83)</f>
        <v>946970304.44712603</v>
      </c>
      <c r="Z84" s="205">
        <f>SUM($B$83:Z83)</f>
        <v>949419143.46559715</v>
      </c>
      <c r="AA84" s="205">
        <f>SUM($B$83:AA83)</f>
        <v>951639922.39361691</v>
      </c>
      <c r="AB84" s="205">
        <f>SUM($B$83:AB83)</f>
        <v>954302588.74314117</v>
      </c>
      <c r="AC84" s="205">
        <f>SUM($B$83:AC83)</f>
        <v>957079309.6835072</v>
      </c>
      <c r="AD84" s="205">
        <f>SUM($B$83:AD83)</f>
        <v>959975127.45182812</v>
      </c>
      <c r="AE84" s="205">
        <f>SUM($B$83:AE83)</f>
        <v>962995307.19737649</v>
      </c>
      <c r="AF84" s="205">
        <f>SUM($B$83:AF83)</f>
        <v>966145346.83630311</v>
      </c>
      <c r="AG84" s="205">
        <f>SUM($B$83:AG83)</f>
        <v>968999739.23155689</v>
      </c>
      <c r="AH84" s="125"/>
      <c r="AI84" s="125"/>
      <c r="AJ84" s="125"/>
      <c r="AK84" s="125"/>
      <c r="AL84" s="125"/>
      <c r="AM84" s="125"/>
      <c r="AN84" s="125"/>
      <c r="AO84" s="125"/>
      <c r="AP84" s="125"/>
      <c r="AQ84" s="125"/>
      <c r="AR84" s="125"/>
      <c r="AS84" s="125"/>
    </row>
    <row r="85" spans="1:45" x14ac:dyDescent="0.2">
      <c r="A85" s="176" t="s">
        <v>487</v>
      </c>
      <c r="B85" s="206">
        <f t="shared" ref="B85:AG85" si="50">1/POWER((1+$B$44),B73)</f>
        <v>0.94503775855665906</v>
      </c>
      <c r="C85" s="206">
        <f t="shared" si="50"/>
        <v>0.84400978704711893</v>
      </c>
      <c r="D85" s="206">
        <f t="shared" si="50"/>
        <v>0.75378207291874522</v>
      </c>
      <c r="E85" s="206">
        <f t="shared" si="50"/>
        <v>0.67320002939961177</v>
      </c>
      <c r="F85" s="206">
        <f t="shared" si="50"/>
        <v>0.60123249924052136</v>
      </c>
      <c r="G85" s="206">
        <f t="shared" si="50"/>
        <v>0.53695855965037187</v>
      </c>
      <c r="H85" s="206">
        <f t="shared" si="50"/>
        <v>0.47955573783189431</v>
      </c>
      <c r="I85" s="206">
        <f t="shared" si="50"/>
        <v>0.4282894863194554</v>
      </c>
      <c r="J85" s="206">
        <f t="shared" si="50"/>
        <v>0.38250378344150709</v>
      </c>
      <c r="K85" s="206">
        <f t="shared" si="50"/>
        <v>0.34161273862776381</v>
      </c>
      <c r="L85" s="206">
        <f t="shared" si="50"/>
        <v>0.30509309513955868</v>
      </c>
      <c r="M85" s="206">
        <f t="shared" si="50"/>
        <v>0.27247753428557531</v>
      </c>
      <c r="N85" s="206">
        <f t="shared" si="50"/>
        <v>0.2433486954412569</v>
      </c>
      <c r="O85" s="206">
        <f t="shared" si="50"/>
        <v>0.21733383534987666</v>
      </c>
      <c r="P85" s="206">
        <f t="shared" si="50"/>
        <v>0.19410005836373731</v>
      </c>
      <c r="Q85" s="206">
        <f t="shared" si="50"/>
        <v>0.1733500565899235</v>
      </c>
      <c r="R85" s="206">
        <f t="shared" si="50"/>
        <v>0.15481830542995756</v>
      </c>
      <c r="S85" s="206">
        <f t="shared" si="50"/>
        <v>0.1382676658300952</v>
      </c>
      <c r="T85" s="206">
        <f t="shared" si="50"/>
        <v>0.12348634976341452</v>
      </c>
      <c r="U85" s="206">
        <f t="shared" si="50"/>
        <v>0.11028521011290035</v>
      </c>
      <c r="V85" s="206">
        <f t="shared" si="50"/>
        <v>9.8495320275877762E-2</v>
      </c>
      <c r="W85" s="206">
        <f t="shared" si="50"/>
        <v>8.796581251752951E-2</v>
      </c>
      <c r="X85" s="206">
        <f t="shared" si="50"/>
        <v>7.8561947412279634E-2</v>
      </c>
      <c r="Y85" s="206">
        <f t="shared" si="50"/>
        <v>7.0163389668911003E-2</v>
      </c>
      <c r="Z85" s="206">
        <f t="shared" si="50"/>
        <v>6.2662668276244532E-2</v>
      </c>
      <c r="AA85" s="206">
        <f t="shared" si="50"/>
        <v>5.5963801264842836E-2</v>
      </c>
      <c r="AB85" s="206">
        <f t="shared" si="50"/>
        <v>4.9981067486686487E-2</v>
      </c>
      <c r="AC85" s="206">
        <f t="shared" si="50"/>
        <v>4.4637909696067235E-2</v>
      </c>
      <c r="AD85" s="206">
        <f t="shared" si="50"/>
        <v>3.9865954895121236E-2</v>
      </c>
      <c r="AE85" s="206">
        <f t="shared" si="50"/>
        <v>3.5604139407985382E-2</v>
      </c>
      <c r="AF85" s="206">
        <f t="shared" si="50"/>
        <v>3.1797927487706865E-2</v>
      </c>
      <c r="AG85" s="206">
        <f t="shared" si="50"/>
        <v>2.8398613456914246E-2</v>
      </c>
      <c r="AH85" s="125"/>
      <c r="AI85" s="125"/>
      <c r="AJ85" s="125"/>
      <c r="AK85" s="125"/>
      <c r="AL85" s="125"/>
      <c r="AM85" s="125"/>
      <c r="AN85" s="125"/>
      <c r="AO85" s="125"/>
      <c r="AP85" s="125"/>
      <c r="AQ85" s="125"/>
      <c r="AR85" s="125"/>
      <c r="AS85" s="125"/>
    </row>
    <row r="86" spans="1:45" ht="28.5" x14ac:dyDescent="0.2">
      <c r="A86" s="175" t="s">
        <v>258</v>
      </c>
      <c r="B86" s="205">
        <f>B83*B85</f>
        <v>-316994.33666549803</v>
      </c>
      <c r="C86" s="205">
        <f>C83*C85</f>
        <v>-10195682.706844974</v>
      </c>
      <c r="D86" s="205">
        <f t="shared" ref="D86:AG86" si="51">D83*D85</f>
        <v>0</v>
      </c>
      <c r="E86" s="205">
        <f t="shared" si="51"/>
        <v>369330.65187397064</v>
      </c>
      <c r="F86" s="205">
        <f t="shared" si="51"/>
        <v>419792.60206546361</v>
      </c>
      <c r="G86" s="205">
        <f t="shared" si="51"/>
        <v>498460106.00834149</v>
      </c>
      <c r="H86" s="205">
        <f t="shared" si="51"/>
        <v>560519.06004660949</v>
      </c>
      <c r="I86" s="205">
        <f t="shared" si="51"/>
        <v>455762.95784370019</v>
      </c>
      <c r="J86" s="205">
        <f t="shared" si="51"/>
        <v>484624.52348448546</v>
      </c>
      <c r="K86" s="205">
        <f t="shared" si="51"/>
        <v>450700.75204304053</v>
      </c>
      <c r="L86" s="205">
        <f t="shared" si="51"/>
        <v>419197.77857348294</v>
      </c>
      <c r="M86" s="205">
        <f t="shared" si="51"/>
        <v>389938.10533637647</v>
      </c>
      <c r="N86" s="205">
        <f t="shared" si="51"/>
        <v>362757.72881840286</v>
      </c>
      <c r="O86" s="205">
        <f t="shared" si="51"/>
        <v>294484.02490211441</v>
      </c>
      <c r="P86" s="205">
        <f t="shared" si="51"/>
        <v>314039.97449541686</v>
      </c>
      <c r="Q86" s="205">
        <f t="shared" si="51"/>
        <v>292232.84438954771</v>
      </c>
      <c r="R86" s="205">
        <f t="shared" si="51"/>
        <v>271963.77834398672</v>
      </c>
      <c r="S86" s="205">
        <f t="shared" si="51"/>
        <v>253121.82968905853</v>
      </c>
      <c r="T86" s="205">
        <f t="shared" si="51"/>
        <v>235604.30683228161</v>
      </c>
      <c r="U86" s="205">
        <f t="shared" si="51"/>
        <v>191015.54996362355</v>
      </c>
      <c r="V86" s="205">
        <f t="shared" si="51"/>
        <v>204169.26303211154</v>
      </c>
      <c r="W86" s="205">
        <f t="shared" si="51"/>
        <v>190082.13497538964</v>
      </c>
      <c r="X86" s="205">
        <f t="shared" si="51"/>
        <v>176979.18209965446</v>
      </c>
      <c r="Y86" s="205">
        <f t="shared" si="51"/>
        <v>164790.37197768898</v>
      </c>
      <c r="Z86" s="205">
        <f t="shared" si="51"/>
        <v>153450.78707638185</v>
      </c>
      <c r="AA86" s="205">
        <f t="shared" si="51"/>
        <v>124283.23058084682</v>
      </c>
      <c r="AB86" s="205">
        <f t="shared" si="51"/>
        <v>133082.90651010029</v>
      </c>
      <c r="AC86" s="205">
        <f t="shared" si="51"/>
        <v>123947.01858723561</v>
      </c>
      <c r="AD86" s="205">
        <f t="shared" si="51"/>
        <v>115444.54053637452</v>
      </c>
      <c r="AE86" s="205">
        <f t="shared" si="51"/>
        <v>107530.90069767866</v>
      </c>
      <c r="AF86" s="205">
        <f t="shared" si="51"/>
        <v>100164.73202198942</v>
      </c>
      <c r="AG86" s="205">
        <f t="shared" si="51"/>
        <v>81060.786287166775</v>
      </c>
      <c r="AH86" s="125"/>
      <c r="AI86" s="125"/>
      <c r="AJ86" s="125"/>
      <c r="AK86" s="125"/>
      <c r="AL86" s="125"/>
      <c r="AM86" s="125"/>
      <c r="AN86" s="125"/>
      <c r="AO86" s="125"/>
      <c r="AP86" s="125"/>
      <c r="AQ86" s="125"/>
      <c r="AR86" s="125"/>
      <c r="AS86" s="125"/>
    </row>
    <row r="87" spans="1:45" ht="14.25" x14ac:dyDescent="0.2">
      <c r="A87" s="175" t="s">
        <v>257</v>
      </c>
      <c r="B87" s="205">
        <f>SUM($B$86:B86)</f>
        <v>-316994.33666549803</v>
      </c>
      <c r="C87" s="205">
        <f>SUM($B$86:C86)</f>
        <v>-10512677.043510472</v>
      </c>
      <c r="D87" s="205">
        <f>SUM($B$86:D86)</f>
        <v>-10512677.043510472</v>
      </c>
      <c r="E87" s="205">
        <f>SUM($B$86:E86)</f>
        <v>-10143346.391636502</v>
      </c>
      <c r="F87" s="205">
        <f>SUM($B$86:F86)</f>
        <v>-9723553.7895710375</v>
      </c>
      <c r="G87" s="205">
        <f>SUM($B$86:G86)</f>
        <v>488736552.21877044</v>
      </c>
      <c r="H87" s="205">
        <f>SUM($B$86:H86)</f>
        <v>489297071.27881706</v>
      </c>
      <c r="I87" s="205">
        <f>SUM($B$86:I86)</f>
        <v>489752834.23666078</v>
      </c>
      <c r="J87" s="205">
        <f>SUM($B$86:J86)</f>
        <v>490237458.76014525</v>
      </c>
      <c r="K87" s="205">
        <f>SUM($B$86:K86)</f>
        <v>490688159.51218832</v>
      </c>
      <c r="L87" s="205">
        <f>SUM($B$86:L86)</f>
        <v>491107357.29076177</v>
      </c>
      <c r="M87" s="205">
        <f>SUM($B$86:M86)</f>
        <v>491497295.39609814</v>
      </c>
      <c r="N87" s="205">
        <f>SUM($B$86:N86)</f>
        <v>491860053.12491655</v>
      </c>
      <c r="O87" s="205">
        <f>SUM($B$86:O86)</f>
        <v>492154537.14981866</v>
      </c>
      <c r="P87" s="205">
        <f>SUM($B$86:P86)</f>
        <v>492468577.12431407</v>
      </c>
      <c r="Q87" s="205">
        <f>SUM($B$86:Q86)</f>
        <v>492760809.96870363</v>
      </c>
      <c r="R87" s="205">
        <f>SUM($B$86:R86)</f>
        <v>493032773.7470476</v>
      </c>
      <c r="S87" s="205">
        <f>SUM($B$86:S86)</f>
        <v>493285895.57673669</v>
      </c>
      <c r="T87" s="205">
        <f>SUM($B$86:T86)</f>
        <v>493521499.88356894</v>
      </c>
      <c r="U87" s="205">
        <f>SUM($B$86:U86)</f>
        <v>493712515.4335326</v>
      </c>
      <c r="V87" s="205">
        <f>SUM($B$86:V86)</f>
        <v>493916684.69656473</v>
      </c>
      <c r="W87" s="205">
        <f>SUM($B$86:W86)</f>
        <v>494106766.83154011</v>
      </c>
      <c r="X87" s="205">
        <f>SUM($B$86:X86)</f>
        <v>494283746.01363975</v>
      </c>
      <c r="Y87" s="205">
        <f>SUM($B$86:Y86)</f>
        <v>494448536.38561743</v>
      </c>
      <c r="Z87" s="205">
        <f>SUM($B$86:Z86)</f>
        <v>494601987.17269379</v>
      </c>
      <c r="AA87" s="205">
        <f>SUM($B$86:AA86)</f>
        <v>494726270.40327466</v>
      </c>
      <c r="AB87" s="205">
        <f>SUM($B$86:AB86)</f>
        <v>494859353.30978477</v>
      </c>
      <c r="AC87" s="205">
        <f>SUM($B$86:AC86)</f>
        <v>494983300.328372</v>
      </c>
      <c r="AD87" s="205">
        <f>SUM($B$86:AD86)</f>
        <v>495098744.86890841</v>
      </c>
      <c r="AE87" s="205">
        <f>SUM($B$86:AE86)</f>
        <v>495206275.76960611</v>
      </c>
      <c r="AF87" s="205">
        <f>SUM($B$86:AF86)</f>
        <v>495306440.5016281</v>
      </c>
      <c r="AG87" s="205">
        <f>SUM($B$86:AG86)</f>
        <v>495387501.28791529</v>
      </c>
      <c r="AH87" s="125"/>
      <c r="AI87" s="125"/>
      <c r="AJ87" s="125"/>
      <c r="AK87" s="125"/>
      <c r="AL87" s="125"/>
      <c r="AM87" s="125"/>
      <c r="AN87" s="125"/>
      <c r="AO87" s="125"/>
      <c r="AP87" s="125"/>
      <c r="AQ87" s="125"/>
      <c r="AR87" s="125"/>
      <c r="AS87" s="125"/>
    </row>
    <row r="88" spans="1:45" ht="14.25" x14ac:dyDescent="0.2">
      <c r="A88" s="175" t="s">
        <v>256</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1.9090356854748736</v>
      </c>
      <c r="H88" s="207">
        <f>IF((ISERR(IRR($B$83:H83))),0,IF(IRR($B$83:H83)&lt;0,0,IRR($B$83:H83)))</f>
        <v>1.9093433133169215</v>
      </c>
      <c r="I88" s="207">
        <f>IF((ISERR(IRR($B$83:I83))),0,IF(IRR($B$83:I83)&lt;0,0,IRR($B$83:I83)))</f>
        <v>1.9094395438627472</v>
      </c>
      <c r="J88" s="207">
        <f>IF((ISERR(IRR($B$83:J83))),0,IF(IRR($B$83:J83)&lt;0,0,IRR($B$83:J83)))</f>
        <v>1.9094789164488772</v>
      </c>
      <c r="K88" s="207">
        <f>IF((ISERR(IRR($B$83:K83))),0,IF(IRR($B$83:K83)&lt;0,0,IRR($B$83:K83)))</f>
        <v>1.9094930069000124</v>
      </c>
      <c r="L88" s="207">
        <f>IF((ISERR(IRR($B$83:L83))),0,IF(IRR($B$83:L83)&lt;0,0,IRR($B$83:L83)))</f>
        <v>1.9094980502992516</v>
      </c>
      <c r="M88" s="207">
        <f>IF((ISERR(IRR($B$83:M83))),0,IF(IRR($B$83:M83)&lt;0,0,IRR($B$83:M83)))</f>
        <v>1.9094998557127978</v>
      </c>
      <c r="N88" s="207">
        <f>IF((ISERR(IRR($B$83:N83))),0,IF(IRR($B$83:N83)&lt;0,0,IRR($B$83:N83)))</f>
        <v>1.9095005020783065</v>
      </c>
      <c r="O88" s="207">
        <f>IF((ISERR(IRR($B$83:O83))),0,IF(IRR($B$83:O83)&lt;0,0,IRR($B$83:O83)))</f>
        <v>1.9095007040104095</v>
      </c>
      <c r="P88" s="207">
        <f>IF((ISERR(IRR($B$83:P83))),0,IF(IRR($B$83:P83)&lt;0,0,IRR($B$83:P83)))</f>
        <v>1.909500786883084</v>
      </c>
      <c r="Q88" s="207">
        <f>IF((ISERR(IRR($B$83:Q83))),0,IF(IRR($B$83:Q83)&lt;0,0,IRR($B$83:Q83)))</f>
        <v>1.9095008165613452</v>
      </c>
      <c r="R88" s="207">
        <f>IF((ISERR(IRR($B$83:R83))),0,IF(IRR($B$83:R83)&lt;0,0,IRR($B$83:R83)))</f>
        <v>1.9095008271906209</v>
      </c>
      <c r="S88" s="207">
        <f>IF((ISERR(IRR($B$83:S83))),0,IF(IRR($B$83:S83)&lt;0,0,IRR($B$83:S83)))</f>
        <v>1.9095008309978168</v>
      </c>
      <c r="T88" s="207">
        <f>IF((ISERR(IRR($B$83:T83))),0,IF(IRR($B$83:T83)&lt;0,0,IRR($B$83:T83)))</f>
        <v>1.9095008323615903</v>
      </c>
      <c r="U88" s="207">
        <f>IF((ISERR(IRR($B$83:U83))),0,IF(IRR($B$83:U83)&lt;0,0,IRR($B$83:U83)))</f>
        <v>1.909500832787101</v>
      </c>
      <c r="V88" s="207">
        <f>IF((ISERR(IRR($B$83:V83))),0,IF(IRR($B$83:V83)&lt;0,0,IRR($B$83:V83)))</f>
        <v>1.9095008329621321</v>
      </c>
      <c r="W88" s="207">
        <f>IF((ISERR(IRR($B$83:W83))),0,IF(IRR($B$83:W83)&lt;0,0,IRR($B$83:W83)))</f>
        <v>1.9095008330248446</v>
      </c>
      <c r="X88" s="207">
        <f>IF((ISERR(IRR($B$83:X83))),0,IF(IRR($B$83:X83)&lt;0,0,IRR($B$83:X83)))</f>
        <v>1.9095008330473151</v>
      </c>
      <c r="Y88" s="207">
        <f>IF((ISERR(IRR($B$83:Y83))),0,IF(IRR($B$83:Y83)&lt;0,0,IRR($B$83:Y83)))</f>
        <v>1.9095008330553664</v>
      </c>
      <c r="Z88" s="207">
        <f>IF((ISERR(IRR($B$83:Z83))),0,IF(IRR($B$83:Z83)&lt;0,0,IRR($B$83:Z83)))</f>
        <v>1.9095008330582526</v>
      </c>
      <c r="AA88" s="207">
        <f>IF((ISERR(IRR($B$83:AA83))),0,IF(IRR($B$83:AA83)&lt;0,0,IRR($B$83:AA83)))</f>
        <v>1.9095008330591523</v>
      </c>
      <c r="AB88" s="207">
        <f>IF((ISERR(IRR($B$83:AB83))),0,IF(IRR($B$83:AB83)&lt;0,0,IRR($B$83:AB83)))</f>
        <v>1.9095008330595222</v>
      </c>
      <c r="AC88" s="207">
        <f>IF((ISERR(IRR($B$83:AC83))),0,IF(IRR($B$83:AC83)&lt;0,0,IRR($B$83:AC83)))</f>
        <v>1.9095008330596559</v>
      </c>
      <c r="AD88" s="207">
        <f>IF((ISERR(IRR($B$83:AD83))),0,IF(IRR($B$83:AD83)&lt;0,0,IRR($B$83:AD83)))</f>
        <v>1.909500833059703</v>
      </c>
      <c r="AE88" s="207">
        <f>IF((ISERR(IRR($B$83:AE83))),0,IF(IRR($B$83:AE83)&lt;0,0,IRR($B$83:AE83)))</f>
        <v>1.9095008330597198</v>
      </c>
      <c r="AF88" s="207">
        <f>IF((ISERR(IRR($B$83:AF83))),0,IF(IRR($B$83:AF83)&lt;0,0,IRR($B$83:AF83)))</f>
        <v>1.9095008330597265</v>
      </c>
      <c r="AG88" s="207">
        <f>IF((ISERR(IRR($B$83:AG83))),0,IF(IRR($B$83:AG83)&lt;0,0,IRR($B$83:AG83)))</f>
        <v>1.9095008330597274</v>
      </c>
      <c r="AH88" s="125"/>
      <c r="AI88" s="125"/>
      <c r="AJ88" s="125"/>
      <c r="AK88" s="125"/>
      <c r="AL88" s="125"/>
      <c r="AM88" s="125"/>
      <c r="AN88" s="125"/>
      <c r="AO88" s="125"/>
      <c r="AP88" s="125"/>
      <c r="AQ88" s="125"/>
      <c r="AR88" s="125"/>
      <c r="AS88" s="125"/>
    </row>
    <row r="89" spans="1:45" ht="14.25" x14ac:dyDescent="0.2">
      <c r="A89" s="175" t="s">
        <v>255</v>
      </c>
      <c r="B89" s="208">
        <f>IF(AND(B84&gt;0,A84&lt;0),(B74-(B84/(B84-A84))),0)</f>
        <v>0</v>
      </c>
      <c r="C89" s="208">
        <f t="shared" ref="C89:AG89" si="52">IF(AND(C84&gt;0,B84&lt;0),(C74-(C84/(C84-B84))),0)</f>
        <v>0</v>
      </c>
      <c r="D89" s="208">
        <f t="shared" si="52"/>
        <v>0</v>
      </c>
      <c r="E89" s="208">
        <f t="shared" si="52"/>
        <v>0</v>
      </c>
      <c r="F89" s="208">
        <f t="shared" si="52"/>
        <v>0</v>
      </c>
      <c r="G89" s="208">
        <f t="shared" si="52"/>
        <v>5.0120312511352765</v>
      </c>
      <c r="H89" s="208">
        <f>IF(AND(H84&gt;0,G84&lt;0),(H74-(H84/(H84-G84))),0)</f>
        <v>0</v>
      </c>
      <c r="I89" s="208">
        <f t="shared" si="52"/>
        <v>0</v>
      </c>
      <c r="J89" s="208">
        <f t="shared" si="52"/>
        <v>0</v>
      </c>
      <c r="K89" s="208">
        <f t="shared" si="52"/>
        <v>0</v>
      </c>
      <c r="L89" s="208">
        <f t="shared" si="52"/>
        <v>0</v>
      </c>
      <c r="M89" s="208">
        <f t="shared" si="52"/>
        <v>0</v>
      </c>
      <c r="N89" s="208">
        <f t="shared" si="52"/>
        <v>0</v>
      </c>
      <c r="O89" s="208">
        <f t="shared" si="52"/>
        <v>0</v>
      </c>
      <c r="P89" s="208">
        <f t="shared" si="52"/>
        <v>0</v>
      </c>
      <c r="Q89" s="208">
        <f t="shared" si="52"/>
        <v>0</v>
      </c>
      <c r="R89" s="208">
        <f t="shared" si="52"/>
        <v>0</v>
      </c>
      <c r="S89" s="208">
        <f t="shared" si="52"/>
        <v>0</v>
      </c>
      <c r="T89" s="208">
        <f t="shared" si="52"/>
        <v>0</v>
      </c>
      <c r="U89" s="208">
        <f t="shared" si="52"/>
        <v>0</v>
      </c>
      <c r="V89" s="208">
        <f t="shared" si="52"/>
        <v>0</v>
      </c>
      <c r="W89" s="208">
        <f t="shared" si="52"/>
        <v>0</v>
      </c>
      <c r="X89" s="208">
        <f t="shared" si="52"/>
        <v>0</v>
      </c>
      <c r="Y89" s="208">
        <f t="shared" si="52"/>
        <v>0</v>
      </c>
      <c r="Z89" s="208">
        <f t="shared" si="52"/>
        <v>0</v>
      </c>
      <c r="AA89" s="208">
        <f t="shared" si="52"/>
        <v>0</v>
      </c>
      <c r="AB89" s="208">
        <f t="shared" si="52"/>
        <v>0</v>
      </c>
      <c r="AC89" s="208">
        <f t="shared" si="52"/>
        <v>0</v>
      </c>
      <c r="AD89" s="208">
        <f t="shared" si="52"/>
        <v>0</v>
      </c>
      <c r="AE89" s="208">
        <f t="shared" si="52"/>
        <v>0</v>
      </c>
      <c r="AF89" s="208">
        <f t="shared" si="52"/>
        <v>0</v>
      </c>
      <c r="AG89" s="208">
        <f t="shared" si="52"/>
        <v>0</v>
      </c>
      <c r="AH89" s="125"/>
      <c r="AI89" s="125"/>
      <c r="AJ89" s="125"/>
      <c r="AK89" s="125"/>
      <c r="AL89" s="125"/>
      <c r="AM89" s="125"/>
      <c r="AN89" s="125"/>
      <c r="AO89" s="125"/>
      <c r="AP89" s="125"/>
      <c r="AQ89" s="125"/>
      <c r="AR89" s="125"/>
      <c r="AS89" s="125"/>
    </row>
    <row r="90" spans="1:45" ht="15" thickBot="1" x14ac:dyDescent="0.25">
      <c r="A90" s="183" t="s">
        <v>254</v>
      </c>
      <c r="B90" s="184">
        <f t="shared" ref="B90:AG90" si="53">IF(AND(B87&gt;0,A87&lt;0),(B74-(B87/(B87-A87))),0)</f>
        <v>0</v>
      </c>
      <c r="C90" s="184">
        <f t="shared" si="53"/>
        <v>0</v>
      </c>
      <c r="D90" s="184">
        <f t="shared" si="53"/>
        <v>0</v>
      </c>
      <c r="E90" s="184">
        <f t="shared" si="53"/>
        <v>0</v>
      </c>
      <c r="F90" s="184">
        <f t="shared" si="53"/>
        <v>0</v>
      </c>
      <c r="G90" s="184">
        <f t="shared" si="53"/>
        <v>5.0195071855748639</v>
      </c>
      <c r="H90" s="184">
        <f t="shared" si="53"/>
        <v>0</v>
      </c>
      <c r="I90" s="184">
        <f t="shared" si="53"/>
        <v>0</v>
      </c>
      <c r="J90" s="184">
        <f t="shared" si="53"/>
        <v>0</v>
      </c>
      <c r="K90" s="184">
        <f t="shared" si="53"/>
        <v>0</v>
      </c>
      <c r="L90" s="184">
        <f t="shared" si="53"/>
        <v>0</v>
      </c>
      <c r="M90" s="184">
        <f t="shared" si="53"/>
        <v>0</v>
      </c>
      <c r="N90" s="184">
        <f t="shared" si="53"/>
        <v>0</v>
      </c>
      <c r="O90" s="184">
        <f t="shared" si="53"/>
        <v>0</v>
      </c>
      <c r="P90" s="184">
        <f t="shared" si="53"/>
        <v>0</v>
      </c>
      <c r="Q90" s="184">
        <f t="shared" si="53"/>
        <v>0</v>
      </c>
      <c r="R90" s="184">
        <f t="shared" si="53"/>
        <v>0</v>
      </c>
      <c r="S90" s="184">
        <f t="shared" si="53"/>
        <v>0</v>
      </c>
      <c r="T90" s="184">
        <f t="shared" si="53"/>
        <v>0</v>
      </c>
      <c r="U90" s="184">
        <f t="shared" si="53"/>
        <v>0</v>
      </c>
      <c r="V90" s="184">
        <f t="shared" si="53"/>
        <v>0</v>
      </c>
      <c r="W90" s="184">
        <f t="shared" si="53"/>
        <v>0</v>
      </c>
      <c r="X90" s="184">
        <f t="shared" si="53"/>
        <v>0</v>
      </c>
      <c r="Y90" s="184">
        <f t="shared" si="53"/>
        <v>0</v>
      </c>
      <c r="Z90" s="184">
        <f t="shared" si="53"/>
        <v>0</v>
      </c>
      <c r="AA90" s="184">
        <f t="shared" si="53"/>
        <v>0</v>
      </c>
      <c r="AB90" s="184">
        <f t="shared" si="53"/>
        <v>0</v>
      </c>
      <c r="AC90" s="184">
        <f t="shared" si="53"/>
        <v>0</v>
      </c>
      <c r="AD90" s="184">
        <f t="shared" si="53"/>
        <v>0</v>
      </c>
      <c r="AE90" s="184">
        <f t="shared" si="53"/>
        <v>0</v>
      </c>
      <c r="AF90" s="184">
        <f t="shared" si="53"/>
        <v>0</v>
      </c>
      <c r="AG90" s="184">
        <f t="shared" si="53"/>
        <v>0</v>
      </c>
      <c r="AH90" s="125"/>
      <c r="AI90" s="125"/>
      <c r="AJ90" s="125"/>
      <c r="AK90" s="125"/>
      <c r="AL90" s="125"/>
      <c r="AM90" s="125"/>
      <c r="AN90" s="125"/>
      <c r="AO90" s="125"/>
      <c r="AP90" s="125"/>
      <c r="AQ90" s="125"/>
      <c r="AR90" s="125"/>
      <c r="AS90" s="125"/>
    </row>
    <row r="91" spans="1:45" s="163" customFormat="1" x14ac:dyDescent="0.2">
      <c r="A91" s="138"/>
      <c r="B91" s="185">
        <v>2024</v>
      </c>
      <c r="C91" s="185">
        <f>B91+1</f>
        <v>2025</v>
      </c>
      <c r="D91" s="123">
        <f t="shared" ref="D91:AG91" si="54">C91+1</f>
        <v>2026</v>
      </c>
      <c r="E91" s="123">
        <f t="shared" si="54"/>
        <v>2027</v>
      </c>
      <c r="F91" s="123">
        <f t="shared" si="54"/>
        <v>2028</v>
      </c>
      <c r="G91" s="123">
        <f t="shared" si="54"/>
        <v>2029</v>
      </c>
      <c r="H91" s="123">
        <f t="shared" si="54"/>
        <v>2030</v>
      </c>
      <c r="I91" s="123">
        <f t="shared" si="54"/>
        <v>2031</v>
      </c>
      <c r="J91" s="123">
        <f t="shared" si="54"/>
        <v>2032</v>
      </c>
      <c r="K91" s="123">
        <f t="shared" si="54"/>
        <v>2033</v>
      </c>
      <c r="L91" s="123">
        <f t="shared" si="54"/>
        <v>2034</v>
      </c>
      <c r="M91" s="123">
        <f t="shared" si="54"/>
        <v>2035</v>
      </c>
      <c r="N91" s="123">
        <f t="shared" si="54"/>
        <v>2036</v>
      </c>
      <c r="O91" s="123">
        <f t="shared" si="54"/>
        <v>2037</v>
      </c>
      <c r="P91" s="123">
        <f t="shared" si="54"/>
        <v>2038</v>
      </c>
      <c r="Q91" s="123">
        <f t="shared" si="54"/>
        <v>2039</v>
      </c>
      <c r="R91" s="123">
        <f t="shared" si="54"/>
        <v>2040</v>
      </c>
      <c r="S91" s="123">
        <f t="shared" si="54"/>
        <v>2041</v>
      </c>
      <c r="T91" s="123">
        <f t="shared" si="54"/>
        <v>2042</v>
      </c>
      <c r="U91" s="123">
        <f t="shared" si="54"/>
        <v>2043</v>
      </c>
      <c r="V91" s="123">
        <f t="shared" si="54"/>
        <v>2044</v>
      </c>
      <c r="W91" s="123">
        <f t="shared" si="54"/>
        <v>2045</v>
      </c>
      <c r="X91" s="123">
        <f t="shared" si="54"/>
        <v>2046</v>
      </c>
      <c r="Y91" s="123">
        <f t="shared" si="54"/>
        <v>2047</v>
      </c>
      <c r="Z91" s="123">
        <f t="shared" si="54"/>
        <v>2048</v>
      </c>
      <c r="AA91" s="123">
        <f t="shared" si="54"/>
        <v>2049</v>
      </c>
      <c r="AB91" s="123">
        <f t="shared" si="54"/>
        <v>2050</v>
      </c>
      <c r="AC91" s="123">
        <f t="shared" si="54"/>
        <v>2051</v>
      </c>
      <c r="AD91" s="123">
        <f t="shared" si="54"/>
        <v>2052</v>
      </c>
      <c r="AE91" s="123">
        <f t="shared" si="54"/>
        <v>2053</v>
      </c>
      <c r="AF91" s="123">
        <f t="shared" si="54"/>
        <v>2054</v>
      </c>
      <c r="AG91" s="123">
        <f t="shared" si="54"/>
        <v>2055</v>
      </c>
    </row>
    <row r="92" spans="1:45" ht="15.6" customHeight="1" x14ac:dyDescent="0.2">
      <c r="A92" s="186" t="s">
        <v>253</v>
      </c>
      <c r="B92" s="75"/>
      <c r="C92" s="75"/>
      <c r="D92" s="75"/>
      <c r="E92" s="75"/>
      <c r="F92" s="75"/>
      <c r="G92" s="75"/>
      <c r="H92" s="75"/>
      <c r="I92" s="75"/>
      <c r="J92" s="75"/>
      <c r="K92" s="75"/>
      <c r="L92" s="187">
        <v>10</v>
      </c>
      <c r="M92" s="75">
        <v>10</v>
      </c>
      <c r="N92" s="75"/>
      <c r="O92" s="75"/>
      <c r="P92" s="75"/>
      <c r="Q92" s="75"/>
      <c r="R92" s="75"/>
      <c r="S92" s="75"/>
      <c r="T92" s="75"/>
      <c r="U92" s="75"/>
      <c r="V92" s="75"/>
      <c r="W92" s="75"/>
      <c r="X92" s="75"/>
      <c r="Y92" s="75"/>
      <c r="Z92" s="75"/>
      <c r="AA92" s="75"/>
      <c r="AB92" s="75"/>
      <c r="AC92" s="75"/>
      <c r="AD92" s="75"/>
      <c r="AE92" s="75"/>
      <c r="AF92" s="75"/>
      <c r="AG92" s="75">
        <v>30</v>
      </c>
      <c r="AH92" s="125"/>
      <c r="AI92" s="125"/>
      <c r="AJ92" s="125"/>
      <c r="AK92" s="125"/>
      <c r="AL92" s="125"/>
      <c r="AM92" s="125"/>
      <c r="AN92" s="125"/>
      <c r="AO92" s="125"/>
      <c r="AP92" s="125"/>
      <c r="AQ92" s="125"/>
      <c r="AR92" s="125"/>
      <c r="AS92" s="125"/>
    </row>
    <row r="93" spans="1:45" ht="12.75" x14ac:dyDescent="0.2">
      <c r="A93" s="76" t="s">
        <v>252</v>
      </c>
      <c r="B93" s="76"/>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125"/>
      <c r="AI93" s="125"/>
      <c r="AJ93" s="125"/>
      <c r="AK93" s="125"/>
      <c r="AL93" s="125"/>
      <c r="AM93" s="125"/>
      <c r="AN93" s="125"/>
      <c r="AO93" s="125"/>
      <c r="AP93" s="125"/>
      <c r="AQ93" s="125"/>
      <c r="AR93" s="125"/>
      <c r="AS93" s="125"/>
    </row>
    <row r="94" spans="1:45" ht="12.75" x14ac:dyDescent="0.2">
      <c r="A94" s="76" t="s">
        <v>251</v>
      </c>
      <c r="B94" s="76"/>
      <c r="C94" s="76"/>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125"/>
      <c r="AI94" s="125"/>
      <c r="AJ94" s="125"/>
      <c r="AK94" s="125"/>
      <c r="AL94" s="125"/>
      <c r="AM94" s="125"/>
      <c r="AN94" s="125"/>
      <c r="AO94" s="125"/>
      <c r="AP94" s="125"/>
      <c r="AQ94" s="125"/>
      <c r="AR94" s="125"/>
      <c r="AS94" s="125"/>
    </row>
    <row r="95" spans="1:45" ht="12.75" x14ac:dyDescent="0.2">
      <c r="A95" s="76" t="s">
        <v>250</v>
      </c>
      <c r="B95" s="76"/>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row>
    <row r="96" spans="1:45" ht="12.75" x14ac:dyDescent="0.2">
      <c r="A96" s="77" t="s">
        <v>249</v>
      </c>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row>
    <row r="97" spans="1:71" ht="33" customHeight="1" x14ac:dyDescent="0.2">
      <c r="A97" s="495" t="s">
        <v>488</v>
      </c>
      <c r="B97" s="495"/>
      <c r="C97" s="495"/>
      <c r="D97" s="495"/>
      <c r="E97" s="495"/>
      <c r="F97" s="495"/>
      <c r="G97" s="495"/>
      <c r="H97" s="495"/>
      <c r="I97" s="495"/>
      <c r="J97" s="495"/>
      <c r="K97" s="495"/>
      <c r="L97" s="495"/>
      <c r="M97" s="178"/>
      <c r="N97" s="178"/>
      <c r="O97" s="178"/>
      <c r="P97" s="178"/>
      <c r="Q97" s="178"/>
      <c r="R97" s="178"/>
      <c r="S97" s="178"/>
      <c r="T97" s="178"/>
      <c r="U97" s="178"/>
      <c r="V97" s="178"/>
      <c r="W97" s="178"/>
      <c r="X97" s="178"/>
      <c r="Y97" s="178"/>
      <c r="Z97" s="178"/>
      <c r="AA97" s="178"/>
      <c r="AB97" s="178"/>
      <c r="AC97" s="178"/>
      <c r="AD97" s="178"/>
      <c r="AE97" s="178"/>
      <c r="AF97" s="178"/>
      <c r="AG97" s="178"/>
      <c r="AH97" s="178"/>
      <c r="AI97" s="178"/>
      <c r="AJ97" s="178"/>
      <c r="AK97" s="178"/>
      <c r="AL97" s="178"/>
      <c r="AM97" s="178"/>
      <c r="AN97" s="178"/>
      <c r="AO97" s="178"/>
      <c r="AP97" s="178"/>
    </row>
    <row r="98" spans="1:71" hidden="1" x14ac:dyDescent="0.2">
      <c r="C98" s="188"/>
    </row>
    <row r="99" spans="1:71" ht="12.75" hidden="1" x14ac:dyDescent="0.2">
      <c r="A99" s="193"/>
      <c r="B99" s="190"/>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1"/>
      <c r="AR99" s="191"/>
      <c r="AS99" s="191"/>
      <c r="AT99" s="190"/>
      <c r="AU99" s="190"/>
      <c r="AV99" s="190"/>
      <c r="AW99" s="190"/>
      <c r="AX99" s="190"/>
      <c r="AY99" s="190"/>
      <c r="AZ99" s="190"/>
      <c r="BA99" s="190"/>
      <c r="BB99" s="190"/>
      <c r="BC99" s="190"/>
      <c r="BD99" s="190"/>
      <c r="BE99" s="190"/>
      <c r="BF99" s="190"/>
      <c r="BG99" s="190"/>
      <c r="BH99" s="190"/>
      <c r="BI99" s="190"/>
      <c r="BJ99" s="190"/>
      <c r="BK99" s="190"/>
      <c r="BL99" s="190"/>
      <c r="BM99" s="190"/>
      <c r="BN99" s="190"/>
      <c r="BO99" s="190"/>
      <c r="BP99" s="190"/>
      <c r="BQ99" s="190"/>
      <c r="BR99" s="190"/>
      <c r="BS99" s="190"/>
    </row>
    <row r="100" spans="1:71" ht="12.75" hidden="1" x14ac:dyDescent="0.2">
      <c r="A100" s="209"/>
      <c r="B100" s="210">
        <v>2023</v>
      </c>
      <c r="C100" s="210">
        <v>2024</v>
      </c>
      <c r="D100" s="211">
        <f t="shared" ref="D100:AH100" si="55">C100+1</f>
        <v>2025</v>
      </c>
      <c r="E100" s="211">
        <f t="shared" si="55"/>
        <v>2026</v>
      </c>
      <c r="F100" s="211">
        <f t="shared" si="55"/>
        <v>2027</v>
      </c>
      <c r="G100" s="211">
        <f t="shared" si="55"/>
        <v>2028</v>
      </c>
      <c r="H100" s="211">
        <f t="shared" si="55"/>
        <v>2029</v>
      </c>
      <c r="I100" s="211">
        <f t="shared" si="55"/>
        <v>2030</v>
      </c>
      <c r="J100" s="211">
        <f t="shared" si="55"/>
        <v>2031</v>
      </c>
      <c r="K100" s="211">
        <f t="shared" si="55"/>
        <v>2032</v>
      </c>
      <c r="L100" s="211">
        <f t="shared" si="55"/>
        <v>2033</v>
      </c>
      <c r="M100" s="211">
        <f t="shared" si="55"/>
        <v>2034</v>
      </c>
      <c r="N100" s="211">
        <f t="shared" si="55"/>
        <v>2035</v>
      </c>
      <c r="O100" s="211">
        <f t="shared" si="55"/>
        <v>2036</v>
      </c>
      <c r="P100" s="211">
        <f t="shared" si="55"/>
        <v>2037</v>
      </c>
      <c r="Q100" s="211">
        <f t="shared" si="55"/>
        <v>2038</v>
      </c>
      <c r="R100" s="211">
        <f t="shared" si="55"/>
        <v>2039</v>
      </c>
      <c r="S100" s="211">
        <f t="shared" si="55"/>
        <v>2040</v>
      </c>
      <c r="T100" s="211">
        <f t="shared" si="55"/>
        <v>2041</v>
      </c>
      <c r="U100" s="211">
        <f t="shared" si="55"/>
        <v>2042</v>
      </c>
      <c r="V100" s="211">
        <f t="shared" si="55"/>
        <v>2043</v>
      </c>
      <c r="W100" s="211">
        <f t="shared" si="55"/>
        <v>2044</v>
      </c>
      <c r="X100" s="211">
        <f t="shared" si="55"/>
        <v>2045</v>
      </c>
      <c r="Y100" s="211">
        <f t="shared" si="55"/>
        <v>2046</v>
      </c>
      <c r="Z100" s="211">
        <f t="shared" si="55"/>
        <v>2047</v>
      </c>
      <c r="AA100" s="211">
        <f t="shared" si="55"/>
        <v>2048</v>
      </c>
      <c r="AB100" s="211">
        <f t="shared" si="55"/>
        <v>2049</v>
      </c>
      <c r="AC100" s="211">
        <f t="shared" si="55"/>
        <v>2050</v>
      </c>
      <c r="AD100" s="211">
        <f t="shared" si="55"/>
        <v>2051</v>
      </c>
      <c r="AE100" s="211">
        <f t="shared" si="55"/>
        <v>2052</v>
      </c>
      <c r="AF100" s="211">
        <f t="shared" si="55"/>
        <v>2053</v>
      </c>
      <c r="AG100" s="211">
        <f t="shared" si="55"/>
        <v>2054</v>
      </c>
      <c r="AH100" s="211">
        <f t="shared" si="55"/>
        <v>2055</v>
      </c>
      <c r="AI100" s="189"/>
      <c r="AJ100" s="189"/>
      <c r="AK100" s="189"/>
      <c r="AL100" s="125"/>
      <c r="AM100" s="125"/>
      <c r="AN100" s="125"/>
      <c r="AO100" s="125"/>
      <c r="AP100" s="125"/>
      <c r="AQ100" s="125"/>
      <c r="AR100" s="125"/>
      <c r="AS100" s="125"/>
    </row>
    <row r="101" spans="1:71" ht="12.75" hidden="1" x14ac:dyDescent="0.2">
      <c r="A101" s="395" t="s">
        <v>576</v>
      </c>
      <c r="B101" s="213"/>
      <c r="C101" s="213">
        <f>C104*$B$106*$C$107*1000</f>
        <v>0</v>
      </c>
      <c r="D101" s="213">
        <f>D104*$B$106*$D$107</f>
        <v>0</v>
      </c>
      <c r="E101" s="213">
        <f>E104*$B$106*$E$107</f>
        <v>253451.12184000004</v>
      </c>
      <c r="F101" s="213">
        <f>F104*$B$106*$F$107</f>
        <v>533053.8250800001</v>
      </c>
      <c r="G101" s="213">
        <f>G104*$B$106*$G$107*1000</f>
        <v>822861396.00000024</v>
      </c>
      <c r="H101" s="213">
        <f>H104*$B$106*$H$107</f>
        <v>855775.95600000024</v>
      </c>
      <c r="I101" s="213">
        <f t="shared" ref="I101:AH101" si="56">I104*$B$106*$H$107</f>
        <v>855775.95600000024</v>
      </c>
      <c r="J101" s="213">
        <f t="shared" si="56"/>
        <v>855775.95600000024</v>
      </c>
      <c r="K101" s="213">
        <f t="shared" si="56"/>
        <v>855775.95600000024</v>
      </c>
      <c r="L101" s="213">
        <f t="shared" si="56"/>
        <v>855775.95600000024</v>
      </c>
      <c r="M101" s="213">
        <f t="shared" si="56"/>
        <v>855775.95600000024</v>
      </c>
      <c r="N101" s="213">
        <f t="shared" si="56"/>
        <v>855775.95600000024</v>
      </c>
      <c r="O101" s="213">
        <f t="shared" si="56"/>
        <v>855775.95600000024</v>
      </c>
      <c r="P101" s="213">
        <f t="shared" si="56"/>
        <v>855775.95600000024</v>
      </c>
      <c r="Q101" s="213">
        <f t="shared" si="56"/>
        <v>855775.95600000024</v>
      </c>
      <c r="R101" s="213">
        <f t="shared" si="56"/>
        <v>855775.95600000024</v>
      </c>
      <c r="S101" s="213">
        <f t="shared" si="56"/>
        <v>855775.95600000024</v>
      </c>
      <c r="T101" s="213">
        <f t="shared" si="56"/>
        <v>855775.95600000024</v>
      </c>
      <c r="U101" s="213">
        <f t="shared" si="56"/>
        <v>855775.95600000024</v>
      </c>
      <c r="V101" s="213">
        <f t="shared" si="56"/>
        <v>855775.95600000024</v>
      </c>
      <c r="W101" s="213">
        <f t="shared" si="56"/>
        <v>855775.95600000024</v>
      </c>
      <c r="X101" s="213">
        <f t="shared" si="56"/>
        <v>855775.95600000024</v>
      </c>
      <c r="Y101" s="213">
        <f t="shared" si="56"/>
        <v>855775.95600000024</v>
      </c>
      <c r="Z101" s="213">
        <f t="shared" si="56"/>
        <v>855775.95600000024</v>
      </c>
      <c r="AA101" s="213">
        <f t="shared" si="56"/>
        <v>855775.95600000024</v>
      </c>
      <c r="AB101" s="213">
        <f t="shared" si="56"/>
        <v>855775.95600000024</v>
      </c>
      <c r="AC101" s="213">
        <f t="shared" si="56"/>
        <v>855775.95600000024</v>
      </c>
      <c r="AD101" s="213">
        <f t="shared" si="56"/>
        <v>855775.95600000024</v>
      </c>
      <c r="AE101" s="213">
        <f t="shared" si="56"/>
        <v>855775.95600000024</v>
      </c>
      <c r="AF101" s="213">
        <f t="shared" si="56"/>
        <v>855775.95600000024</v>
      </c>
      <c r="AG101" s="213">
        <f t="shared" si="56"/>
        <v>855775.95600000024</v>
      </c>
      <c r="AH101" s="213">
        <f t="shared" si="56"/>
        <v>855775.95600000024</v>
      </c>
      <c r="AI101" s="189"/>
      <c r="AJ101" s="189"/>
      <c r="AK101" s="189"/>
      <c r="AL101" s="125"/>
      <c r="AM101" s="125"/>
      <c r="AN101" s="125"/>
      <c r="AO101" s="125"/>
      <c r="AP101" s="125"/>
      <c r="AQ101" s="125"/>
      <c r="AR101" s="125"/>
      <c r="AS101" s="125"/>
    </row>
    <row r="102" spans="1:71" ht="12.75" hidden="1" x14ac:dyDescent="0.2">
      <c r="A102" s="395" t="s">
        <v>576</v>
      </c>
      <c r="B102" s="396"/>
      <c r="C102" s="396"/>
      <c r="D102" s="396">
        <v>0</v>
      </c>
      <c r="E102" s="396">
        <f t="shared" ref="E102:AH102" si="57">$D$114*E107</f>
        <v>57769.084199999998</v>
      </c>
      <c r="F102" s="396">
        <f t="shared" si="57"/>
        <v>61656.1558</v>
      </c>
      <c r="G102" s="396">
        <f t="shared" si="57"/>
        <v>63768.598199999993</v>
      </c>
      <c r="H102" s="396">
        <f t="shared" si="57"/>
        <v>66319.350200000001</v>
      </c>
      <c r="I102" s="396">
        <f t="shared" si="57"/>
        <v>66319.350200000001</v>
      </c>
      <c r="J102" s="396">
        <f t="shared" si="57"/>
        <v>66319.350200000001</v>
      </c>
      <c r="K102" s="396">
        <f t="shared" si="57"/>
        <v>66319.350200000001</v>
      </c>
      <c r="L102" s="396">
        <f t="shared" si="57"/>
        <v>66319.350200000001</v>
      </c>
      <c r="M102" s="396">
        <f t="shared" si="57"/>
        <v>66319.350200000001</v>
      </c>
      <c r="N102" s="396">
        <f t="shared" si="57"/>
        <v>66319.350200000001</v>
      </c>
      <c r="O102" s="396">
        <f t="shared" si="57"/>
        <v>66319.350200000001</v>
      </c>
      <c r="P102" s="396">
        <f t="shared" si="57"/>
        <v>66319.350200000001</v>
      </c>
      <c r="Q102" s="396">
        <f t="shared" si="57"/>
        <v>66319.350200000001</v>
      </c>
      <c r="R102" s="396">
        <f t="shared" si="57"/>
        <v>66319.350200000001</v>
      </c>
      <c r="S102" s="396">
        <f t="shared" si="57"/>
        <v>66319.350200000001</v>
      </c>
      <c r="T102" s="396">
        <f t="shared" si="57"/>
        <v>66319.350200000001</v>
      </c>
      <c r="U102" s="396">
        <f t="shared" si="57"/>
        <v>66319.350200000001</v>
      </c>
      <c r="V102" s="396">
        <f t="shared" si="57"/>
        <v>66319.350200000001</v>
      </c>
      <c r="W102" s="396">
        <f t="shared" si="57"/>
        <v>66319.350200000001</v>
      </c>
      <c r="X102" s="396">
        <f t="shared" si="57"/>
        <v>66319.350200000001</v>
      </c>
      <c r="Y102" s="396">
        <f t="shared" si="57"/>
        <v>66319.350200000001</v>
      </c>
      <c r="Z102" s="396">
        <f t="shared" si="57"/>
        <v>66319.350200000001</v>
      </c>
      <c r="AA102" s="396">
        <f t="shared" si="57"/>
        <v>66319.350200000001</v>
      </c>
      <c r="AB102" s="396">
        <f t="shared" si="57"/>
        <v>66319.350200000001</v>
      </c>
      <c r="AC102" s="396">
        <f t="shared" si="57"/>
        <v>66319.350200000001</v>
      </c>
      <c r="AD102" s="396">
        <f t="shared" si="57"/>
        <v>66319.350200000001</v>
      </c>
      <c r="AE102" s="396">
        <f t="shared" si="57"/>
        <v>66319.350200000001</v>
      </c>
      <c r="AF102" s="396">
        <f t="shared" si="57"/>
        <v>66319.350200000001</v>
      </c>
      <c r="AG102" s="396">
        <f t="shared" si="57"/>
        <v>66319.350200000001</v>
      </c>
      <c r="AH102" s="396">
        <f t="shared" si="57"/>
        <v>66319.350200000001</v>
      </c>
      <c r="AI102" s="189"/>
      <c r="AJ102" s="189"/>
      <c r="AK102" s="189"/>
      <c r="AL102" s="125"/>
      <c r="AM102" s="125"/>
      <c r="AN102" s="125"/>
      <c r="AO102" s="125"/>
      <c r="AP102" s="125"/>
      <c r="AQ102" s="125"/>
      <c r="AR102" s="125"/>
      <c r="AS102" s="125"/>
    </row>
    <row r="103" spans="1:71" ht="25.5" hidden="1" x14ac:dyDescent="0.2">
      <c r="A103" s="395" t="s">
        <v>577</v>
      </c>
      <c r="B103" s="396"/>
      <c r="C103" s="396"/>
      <c r="D103" s="396">
        <v>0</v>
      </c>
      <c r="E103" s="396">
        <v>113052.88940095699</v>
      </c>
      <c r="F103" s="396"/>
      <c r="G103" s="396"/>
      <c r="H103" s="396"/>
      <c r="I103" s="396"/>
      <c r="J103" s="396"/>
      <c r="K103" s="396"/>
      <c r="L103" s="396"/>
      <c r="M103" s="396"/>
      <c r="N103" s="396"/>
      <c r="O103" s="396"/>
      <c r="P103" s="396"/>
      <c r="Q103" s="396"/>
      <c r="R103" s="396"/>
      <c r="S103" s="396"/>
      <c r="T103" s="396"/>
      <c r="U103" s="396"/>
      <c r="V103" s="396"/>
      <c r="W103" s="396"/>
      <c r="X103" s="396"/>
      <c r="Y103" s="396"/>
      <c r="Z103" s="396"/>
      <c r="AA103" s="396"/>
      <c r="AB103" s="396"/>
      <c r="AC103" s="396"/>
      <c r="AD103" s="396"/>
      <c r="AE103" s="396"/>
      <c r="AF103" s="396"/>
      <c r="AG103" s="396"/>
      <c r="AH103" s="396"/>
      <c r="AI103" s="189"/>
      <c r="AJ103" s="189"/>
      <c r="AK103" s="189"/>
      <c r="AL103" s="125"/>
      <c r="AM103" s="125"/>
      <c r="AN103" s="125"/>
      <c r="AO103" s="125"/>
      <c r="AP103" s="125"/>
      <c r="AQ103" s="125"/>
      <c r="AR103" s="125"/>
      <c r="AS103" s="125"/>
    </row>
    <row r="104" spans="1:71" ht="12.75" hidden="1" x14ac:dyDescent="0.2">
      <c r="A104" s="212" t="s">
        <v>489</v>
      </c>
      <c r="B104" s="211"/>
      <c r="C104" s="211">
        <f>B104+$I$115*C108</f>
        <v>0</v>
      </c>
      <c r="D104" s="211">
        <f>C104+$I$115*D108</f>
        <v>0</v>
      </c>
      <c r="E104" s="211">
        <f t="shared" ref="E104:AH104" si="58">D104+$I$115*E108</f>
        <v>2.5296000000000006E-2</v>
      </c>
      <c r="F104" s="211">
        <f t="shared" si="58"/>
        <v>4.984800000000001E-2</v>
      </c>
      <c r="G104" s="211">
        <f t="shared" si="58"/>
        <v>7.4400000000000022E-2</v>
      </c>
      <c r="H104" s="211">
        <f t="shared" si="58"/>
        <v>7.4400000000000022E-2</v>
      </c>
      <c r="I104" s="211">
        <f t="shared" si="58"/>
        <v>7.4400000000000022E-2</v>
      </c>
      <c r="J104" s="211">
        <f t="shared" si="58"/>
        <v>7.4400000000000022E-2</v>
      </c>
      <c r="K104" s="211">
        <f t="shared" si="58"/>
        <v>7.4400000000000022E-2</v>
      </c>
      <c r="L104" s="211">
        <f t="shared" si="58"/>
        <v>7.4400000000000022E-2</v>
      </c>
      <c r="M104" s="211">
        <f t="shared" si="58"/>
        <v>7.4400000000000022E-2</v>
      </c>
      <c r="N104" s="211">
        <f t="shared" si="58"/>
        <v>7.4400000000000022E-2</v>
      </c>
      <c r="O104" s="211">
        <f t="shared" si="58"/>
        <v>7.4400000000000022E-2</v>
      </c>
      <c r="P104" s="211">
        <f t="shared" si="58"/>
        <v>7.4400000000000022E-2</v>
      </c>
      <c r="Q104" s="211">
        <f t="shared" si="58"/>
        <v>7.4400000000000022E-2</v>
      </c>
      <c r="R104" s="211">
        <f t="shared" si="58"/>
        <v>7.4400000000000022E-2</v>
      </c>
      <c r="S104" s="211">
        <f t="shared" si="58"/>
        <v>7.4400000000000022E-2</v>
      </c>
      <c r="T104" s="211">
        <f t="shared" si="58"/>
        <v>7.4400000000000022E-2</v>
      </c>
      <c r="U104" s="211">
        <f t="shared" si="58"/>
        <v>7.4400000000000022E-2</v>
      </c>
      <c r="V104" s="211">
        <f t="shared" si="58"/>
        <v>7.4400000000000022E-2</v>
      </c>
      <c r="W104" s="211">
        <f t="shared" si="58"/>
        <v>7.4400000000000022E-2</v>
      </c>
      <c r="X104" s="211">
        <f t="shared" si="58"/>
        <v>7.4400000000000022E-2</v>
      </c>
      <c r="Y104" s="211">
        <f t="shared" si="58"/>
        <v>7.4400000000000022E-2</v>
      </c>
      <c r="Z104" s="211">
        <f t="shared" si="58"/>
        <v>7.4400000000000022E-2</v>
      </c>
      <c r="AA104" s="211">
        <f t="shared" si="58"/>
        <v>7.4400000000000022E-2</v>
      </c>
      <c r="AB104" s="211">
        <f t="shared" si="58"/>
        <v>7.4400000000000022E-2</v>
      </c>
      <c r="AC104" s="211">
        <f t="shared" si="58"/>
        <v>7.4400000000000022E-2</v>
      </c>
      <c r="AD104" s="211">
        <f t="shared" si="58"/>
        <v>7.4400000000000022E-2</v>
      </c>
      <c r="AE104" s="211">
        <f t="shared" si="58"/>
        <v>7.4400000000000022E-2</v>
      </c>
      <c r="AF104" s="211">
        <f t="shared" si="58"/>
        <v>7.4400000000000022E-2</v>
      </c>
      <c r="AG104" s="211">
        <f t="shared" si="58"/>
        <v>7.4400000000000022E-2</v>
      </c>
      <c r="AH104" s="211">
        <f t="shared" si="58"/>
        <v>7.4400000000000022E-2</v>
      </c>
      <c r="AI104" s="189"/>
      <c r="AJ104" s="189"/>
      <c r="AK104" s="189"/>
      <c r="AL104" s="125"/>
      <c r="AM104" s="125"/>
      <c r="AN104" s="125"/>
      <c r="AO104" s="125"/>
      <c r="AP104" s="125"/>
      <c r="AQ104" s="125"/>
      <c r="AR104" s="125"/>
      <c r="AS104" s="125"/>
    </row>
    <row r="105" spans="1:71" ht="12.75" hidden="1" x14ac:dyDescent="0.2">
      <c r="A105" s="212" t="s">
        <v>490</v>
      </c>
      <c r="B105" s="214">
        <v>0.93</v>
      </c>
      <c r="C105" s="211"/>
      <c r="D105" s="211"/>
      <c r="E105" s="211"/>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189"/>
      <c r="AJ105" s="189"/>
      <c r="AK105" s="189"/>
      <c r="AL105" s="125"/>
      <c r="AM105" s="125"/>
      <c r="AN105" s="125"/>
      <c r="AO105" s="125"/>
      <c r="AP105" s="125"/>
      <c r="AQ105" s="125"/>
      <c r="AR105" s="125"/>
      <c r="AS105" s="125"/>
    </row>
    <row r="106" spans="1:71" ht="12.75" hidden="1" x14ac:dyDescent="0.2">
      <c r="A106" s="212" t="s">
        <v>491</v>
      </c>
      <c r="B106" s="214">
        <v>3500</v>
      </c>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189"/>
      <c r="AJ106" s="189"/>
      <c r="AK106" s="189"/>
      <c r="AL106" s="125"/>
      <c r="AM106" s="125"/>
      <c r="AN106" s="125"/>
      <c r="AO106" s="125"/>
      <c r="AP106" s="125"/>
      <c r="AQ106" s="125"/>
      <c r="AR106" s="125"/>
      <c r="AS106" s="125"/>
    </row>
    <row r="107" spans="1:71" ht="12.75" hidden="1" x14ac:dyDescent="0.2">
      <c r="A107" s="390" t="s">
        <v>575</v>
      </c>
      <c r="B107" s="210">
        <v>2.3520759999999998</v>
      </c>
      <c r="C107" s="397">
        <v>2457.5300000000002</v>
      </c>
      <c r="D107" s="397">
        <v>2671.66</v>
      </c>
      <c r="E107" s="397">
        <v>2862.69</v>
      </c>
      <c r="F107" s="397">
        <v>3055.31</v>
      </c>
      <c r="G107" s="397">
        <v>3159.99</v>
      </c>
      <c r="H107" s="397">
        <v>3286.39</v>
      </c>
      <c r="I107" s="397">
        <v>3286.39</v>
      </c>
      <c r="J107" s="397">
        <v>3286.39</v>
      </c>
      <c r="K107" s="397">
        <v>3286.39</v>
      </c>
      <c r="L107" s="397">
        <v>3286.39</v>
      </c>
      <c r="M107" s="397">
        <v>3286.39</v>
      </c>
      <c r="N107" s="397">
        <v>3286.39</v>
      </c>
      <c r="O107" s="397">
        <v>3286.39</v>
      </c>
      <c r="P107" s="397">
        <v>3286.39</v>
      </c>
      <c r="Q107" s="397">
        <v>3286.39</v>
      </c>
      <c r="R107" s="397">
        <v>3286.39</v>
      </c>
      <c r="S107" s="397">
        <v>3286.39</v>
      </c>
      <c r="T107" s="397">
        <v>3286.39</v>
      </c>
      <c r="U107" s="397">
        <v>3286.39</v>
      </c>
      <c r="V107" s="397">
        <v>3286.39</v>
      </c>
      <c r="W107" s="397">
        <v>3286.39</v>
      </c>
      <c r="X107" s="397">
        <v>3286.39</v>
      </c>
      <c r="Y107" s="397">
        <v>3286.39</v>
      </c>
      <c r="Z107" s="397">
        <v>3286.39</v>
      </c>
      <c r="AA107" s="397">
        <v>3286.39</v>
      </c>
      <c r="AB107" s="397">
        <v>3286.39</v>
      </c>
      <c r="AC107" s="397">
        <v>3286.39</v>
      </c>
      <c r="AD107" s="397">
        <v>3286.39</v>
      </c>
      <c r="AE107" s="397">
        <v>3286.39</v>
      </c>
      <c r="AF107" s="397">
        <v>3286.39</v>
      </c>
      <c r="AG107" s="397">
        <v>3286.39</v>
      </c>
      <c r="AH107" s="397">
        <v>3286.39</v>
      </c>
      <c r="AI107" s="189"/>
      <c r="AJ107" s="189"/>
      <c r="AK107" s="189"/>
      <c r="AL107" s="125"/>
      <c r="AM107" s="125"/>
      <c r="AN107" s="125"/>
      <c r="AO107" s="125"/>
      <c r="AP107" s="125"/>
      <c r="AQ107" s="125"/>
      <c r="AR107" s="125"/>
      <c r="AS107" s="125"/>
    </row>
    <row r="108" spans="1:71" ht="15" hidden="1" x14ac:dyDescent="0.2">
      <c r="A108" s="215" t="s">
        <v>492</v>
      </c>
      <c r="B108" s="216">
        <v>0</v>
      </c>
      <c r="C108" s="217">
        <v>0</v>
      </c>
      <c r="D108" s="217">
        <v>0</v>
      </c>
      <c r="E108" s="217">
        <v>0.34</v>
      </c>
      <c r="F108" s="217">
        <v>0.33</v>
      </c>
      <c r="G108" s="216">
        <v>0.33</v>
      </c>
      <c r="H108" s="216">
        <v>0</v>
      </c>
      <c r="I108" s="216">
        <v>0</v>
      </c>
      <c r="J108" s="216">
        <v>0</v>
      </c>
      <c r="K108" s="216">
        <v>0</v>
      </c>
      <c r="L108" s="216">
        <v>0</v>
      </c>
      <c r="M108" s="216">
        <v>0</v>
      </c>
      <c r="N108" s="216">
        <v>0</v>
      </c>
      <c r="O108" s="216">
        <v>0</v>
      </c>
      <c r="P108" s="216">
        <v>0</v>
      </c>
      <c r="Q108" s="216">
        <v>0</v>
      </c>
      <c r="R108" s="216">
        <v>0</v>
      </c>
      <c r="S108" s="216">
        <v>0</v>
      </c>
      <c r="T108" s="216">
        <v>0</v>
      </c>
      <c r="U108" s="216">
        <v>0</v>
      </c>
      <c r="V108" s="216">
        <v>0</v>
      </c>
      <c r="W108" s="216">
        <v>0</v>
      </c>
      <c r="X108" s="216">
        <v>0</v>
      </c>
      <c r="Y108" s="216">
        <v>0</v>
      </c>
      <c r="Z108" s="216">
        <v>0</v>
      </c>
      <c r="AA108" s="216">
        <v>0</v>
      </c>
      <c r="AB108" s="216">
        <v>0</v>
      </c>
      <c r="AC108" s="216">
        <v>0</v>
      </c>
      <c r="AD108" s="216">
        <v>0</v>
      </c>
      <c r="AE108" s="216">
        <v>0</v>
      </c>
      <c r="AF108" s="216">
        <v>0</v>
      </c>
      <c r="AG108" s="216">
        <v>0</v>
      </c>
      <c r="AH108" s="216">
        <v>0</v>
      </c>
      <c r="AI108" s="189"/>
      <c r="AJ108" s="189"/>
      <c r="AK108" s="189"/>
      <c r="AL108" s="125"/>
      <c r="AM108" s="125"/>
      <c r="AN108" s="125"/>
      <c r="AO108" s="125"/>
      <c r="AP108" s="125"/>
      <c r="AQ108" s="125"/>
      <c r="AR108" s="125"/>
      <c r="AS108" s="125"/>
    </row>
    <row r="109" spans="1:71" ht="12.75" hidden="1" x14ac:dyDescent="0.2">
      <c r="A109" s="193"/>
      <c r="B109" s="190"/>
      <c r="C109" s="190"/>
      <c r="D109" s="190"/>
      <c r="E109" s="190"/>
      <c r="F109" s="190"/>
      <c r="G109" s="190"/>
      <c r="H109" s="190"/>
      <c r="I109" s="190"/>
      <c r="J109" s="190"/>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c r="AT109" s="190"/>
      <c r="AU109" s="190"/>
      <c r="AV109" s="190"/>
      <c r="AW109" s="190"/>
    </row>
    <row r="110" spans="1:71" ht="12.75" hidden="1" x14ac:dyDescent="0.2">
      <c r="A110" s="193"/>
      <c r="B110" s="190"/>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c r="AT110" s="190"/>
      <c r="AU110" s="190"/>
      <c r="AV110" s="190"/>
      <c r="AW110" s="190"/>
    </row>
    <row r="111" spans="1:71" ht="12.75" hidden="1" x14ac:dyDescent="0.2">
      <c r="A111" s="209"/>
      <c r="B111" s="482" t="s">
        <v>493</v>
      </c>
      <c r="C111" s="483"/>
      <c r="D111" s="482" t="s">
        <v>494</v>
      </c>
      <c r="E111" s="483"/>
      <c r="F111" s="209"/>
      <c r="G111" s="209"/>
      <c r="H111" s="209"/>
      <c r="I111" s="209"/>
      <c r="J111" s="209"/>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c r="AT111" s="190"/>
      <c r="AU111" s="190"/>
      <c r="AV111" s="190"/>
      <c r="AW111" s="190"/>
    </row>
    <row r="112" spans="1:71" ht="12.75" hidden="1" x14ac:dyDescent="0.2">
      <c r="A112" s="212" t="s">
        <v>495</v>
      </c>
      <c r="B112" s="218">
        <v>0.08</v>
      </c>
      <c r="C112" s="209" t="s">
        <v>496</v>
      </c>
      <c r="D112" s="270">
        <v>0.16</v>
      </c>
      <c r="E112" s="209" t="s">
        <v>496</v>
      </c>
      <c r="F112" s="209"/>
      <c r="G112" s="209"/>
      <c r="H112" s="209"/>
      <c r="I112" s="209"/>
      <c r="J112" s="209"/>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c r="AT112" s="190"/>
      <c r="AU112" s="190"/>
      <c r="AV112" s="190"/>
      <c r="AW112" s="190"/>
    </row>
    <row r="113" spans="1:49" ht="25.5" hidden="1" x14ac:dyDescent="0.2">
      <c r="A113" s="212" t="s">
        <v>495</v>
      </c>
      <c r="B113" s="209">
        <f>$B$105*B112</f>
        <v>7.4400000000000008E-2</v>
      </c>
      <c r="C113" s="209" t="s">
        <v>125</v>
      </c>
      <c r="D113" s="209">
        <f>$B$105*D112</f>
        <v>0.14880000000000002</v>
      </c>
      <c r="E113" s="209" t="s">
        <v>125</v>
      </c>
      <c r="F113" s="212" t="s">
        <v>497</v>
      </c>
      <c r="G113" s="209">
        <f>D112-B112</f>
        <v>0.08</v>
      </c>
      <c r="H113" s="209" t="s">
        <v>496</v>
      </c>
      <c r="I113" s="219">
        <f>$B$105*G113</f>
        <v>7.4400000000000008E-2</v>
      </c>
      <c r="J113" s="209" t="s">
        <v>125</v>
      </c>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c r="AT113" s="190"/>
      <c r="AU113" s="190"/>
      <c r="AV113" s="190"/>
      <c r="AW113" s="190"/>
    </row>
    <row r="114" spans="1:49" ht="25.5" hidden="1" x14ac:dyDescent="0.2">
      <c r="A114" s="212" t="s">
        <v>579</v>
      </c>
      <c r="B114" s="209"/>
      <c r="C114" s="209"/>
      <c r="D114" s="209">
        <v>20.18</v>
      </c>
      <c r="E114" s="209" t="s">
        <v>578</v>
      </c>
      <c r="F114" s="212" t="s">
        <v>498</v>
      </c>
      <c r="G114" s="209">
        <f>I114/$B$105</f>
        <v>0</v>
      </c>
      <c r="H114" s="209" t="s">
        <v>496</v>
      </c>
      <c r="I114" s="218"/>
      <c r="J114" s="209" t="s">
        <v>125</v>
      </c>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190"/>
    </row>
    <row r="115" spans="1:49" ht="38.25" hidden="1" x14ac:dyDescent="0.2">
      <c r="A115" s="220"/>
      <c r="B115" s="221"/>
      <c r="C115" s="221"/>
      <c r="D115" s="221"/>
      <c r="E115" s="221"/>
      <c r="F115" s="222" t="s">
        <v>499</v>
      </c>
      <c r="G115" s="219">
        <f>G113</f>
        <v>0.08</v>
      </c>
      <c r="H115" s="209" t="s">
        <v>496</v>
      </c>
      <c r="I115" s="214">
        <f>I113</f>
        <v>7.4400000000000008E-2</v>
      </c>
      <c r="J115" s="209" t="s">
        <v>125</v>
      </c>
      <c r="K115" s="190"/>
      <c r="L115" s="190"/>
      <c r="M115" s="190"/>
      <c r="N115" s="190"/>
      <c r="O115" s="190"/>
      <c r="P115" s="190"/>
      <c r="Q115" s="190"/>
      <c r="R115" s="190"/>
      <c r="S115" s="190"/>
      <c r="T115" s="190"/>
      <c r="U115" s="190"/>
      <c r="V115" s="190"/>
      <c r="W115" s="190"/>
      <c r="X115" s="190"/>
      <c r="Y115" s="190"/>
      <c r="Z115" s="190"/>
      <c r="AA115" s="190"/>
      <c r="AB115" s="190"/>
      <c r="AC115" s="190"/>
      <c r="AD115" s="190"/>
      <c r="AE115" s="190"/>
      <c r="AF115" s="190"/>
      <c r="AG115" s="190"/>
      <c r="AH115" s="190"/>
      <c r="AI115" s="190"/>
      <c r="AJ115" s="190"/>
      <c r="AK115" s="190"/>
      <c r="AL115" s="190"/>
      <c r="AM115" s="190"/>
      <c r="AN115" s="190"/>
      <c r="AO115" s="190"/>
      <c r="AP115" s="190"/>
      <c r="AQ115" s="190"/>
      <c r="AR115" s="190"/>
      <c r="AS115" s="190"/>
      <c r="AT115" s="190"/>
      <c r="AU115" s="190"/>
      <c r="AV115" s="190"/>
      <c r="AW115" s="190"/>
    </row>
    <row r="116" spans="1:49" ht="12.75" hidden="1" x14ac:dyDescent="0.2">
      <c r="A116" s="194"/>
      <c r="B116" s="192"/>
      <c r="C116" s="190"/>
      <c r="D116" s="190"/>
      <c r="E116" s="190"/>
      <c r="F116" s="190"/>
      <c r="G116" s="190"/>
      <c r="H116" s="190"/>
      <c r="I116" s="190"/>
      <c r="J116" s="190"/>
      <c r="K116" s="190"/>
      <c r="L116" s="190"/>
      <c r="M116" s="190"/>
      <c r="N116" s="190"/>
      <c r="O116" s="190"/>
      <c r="P116" s="190"/>
      <c r="Q116" s="190"/>
      <c r="R116" s="190"/>
      <c r="S116" s="190"/>
      <c r="T116" s="190"/>
      <c r="U116" s="190"/>
      <c r="V116" s="190"/>
      <c r="W116" s="190"/>
      <c r="X116" s="190"/>
      <c r="Y116" s="190"/>
      <c r="Z116" s="190"/>
      <c r="AA116" s="190"/>
      <c r="AB116" s="190"/>
      <c r="AC116" s="190"/>
      <c r="AD116" s="190"/>
      <c r="AE116" s="190"/>
      <c r="AF116" s="190"/>
      <c r="AG116" s="190"/>
      <c r="AH116" s="190"/>
      <c r="AI116" s="190"/>
      <c r="AJ116" s="190"/>
      <c r="AK116" s="190"/>
      <c r="AL116" s="190"/>
      <c r="AM116" s="190"/>
      <c r="AN116" s="190"/>
      <c r="AO116" s="190"/>
      <c r="AP116" s="190"/>
      <c r="AQ116" s="190"/>
      <c r="AR116" s="190"/>
      <c r="AS116" s="190"/>
      <c r="AT116" s="190"/>
      <c r="AU116" s="190"/>
      <c r="AV116" s="190"/>
      <c r="AW116" s="190"/>
    </row>
    <row r="117" spans="1:49" ht="12.75" hidden="1" x14ac:dyDescent="0.2">
      <c r="A117" s="223" t="s">
        <v>500</v>
      </c>
      <c r="B117" s="269"/>
      <c r="C117" s="192"/>
      <c r="D117" s="192"/>
      <c r="E117" s="192"/>
      <c r="F117" s="192"/>
      <c r="G117" s="192"/>
      <c r="H117" s="192"/>
      <c r="I117" s="192"/>
      <c r="J117" s="192"/>
      <c r="K117" s="192"/>
      <c r="L117" s="192"/>
      <c r="M117" s="192"/>
      <c r="N117" s="192"/>
      <c r="O117" s="192"/>
      <c r="P117" s="192"/>
      <c r="Q117" s="192"/>
      <c r="R117" s="192"/>
      <c r="S117" s="192"/>
      <c r="T117" s="192"/>
      <c r="U117" s="192"/>
      <c r="V117" s="192"/>
      <c r="W117" s="192"/>
      <c r="X117" s="192"/>
      <c r="Y117" s="192"/>
      <c r="Z117" s="192"/>
      <c r="AA117" s="192"/>
      <c r="AB117" s="192"/>
      <c r="AC117" s="192"/>
      <c r="AD117" s="192"/>
      <c r="AE117" s="192"/>
      <c r="AF117" s="192"/>
      <c r="AG117" s="192"/>
      <c r="AH117" s="192"/>
      <c r="AI117" s="192"/>
      <c r="AJ117" s="192"/>
      <c r="AK117" s="192"/>
      <c r="AL117" s="192"/>
      <c r="AM117" s="192"/>
      <c r="AN117" s="192"/>
      <c r="AO117" s="192"/>
      <c r="AP117" s="192"/>
      <c r="AQ117" s="192"/>
      <c r="AR117" s="192"/>
      <c r="AS117" s="192"/>
      <c r="AT117" s="192"/>
      <c r="AU117" s="192"/>
      <c r="AV117" s="192"/>
      <c r="AW117" s="192"/>
    </row>
    <row r="118" spans="1:49" ht="12.75" hidden="1" x14ac:dyDescent="0.2">
      <c r="A118" s="223" t="s">
        <v>299</v>
      </c>
      <c r="B118" s="224"/>
      <c r="C118" s="192"/>
      <c r="D118" s="192"/>
      <c r="E118" s="192"/>
      <c r="F118" s="192"/>
      <c r="G118" s="192"/>
      <c r="H118" s="192"/>
      <c r="I118" s="192"/>
      <c r="J118" s="192"/>
      <c r="K118" s="192"/>
      <c r="L118" s="192"/>
      <c r="M118" s="192"/>
      <c r="N118" s="192"/>
      <c r="O118" s="192"/>
      <c r="P118" s="192"/>
      <c r="Q118" s="192"/>
      <c r="R118" s="192"/>
      <c r="S118" s="192"/>
      <c r="T118" s="192"/>
      <c r="U118" s="192"/>
      <c r="V118" s="192"/>
      <c r="W118" s="192"/>
      <c r="X118" s="192"/>
      <c r="Y118" s="192"/>
      <c r="Z118" s="192"/>
      <c r="AA118" s="192"/>
      <c r="AB118" s="192"/>
      <c r="AC118" s="192"/>
      <c r="AD118" s="192"/>
      <c r="AE118" s="192"/>
      <c r="AF118" s="192"/>
      <c r="AG118" s="192"/>
      <c r="AH118" s="192"/>
      <c r="AI118" s="192"/>
      <c r="AJ118" s="192"/>
      <c r="AK118" s="192"/>
      <c r="AL118" s="192"/>
      <c r="AM118" s="192"/>
      <c r="AN118" s="192"/>
      <c r="AO118" s="192"/>
      <c r="AP118" s="192"/>
      <c r="AQ118" s="192"/>
      <c r="AR118" s="192"/>
      <c r="AS118" s="192"/>
      <c r="AT118" s="192"/>
      <c r="AU118" s="192"/>
      <c r="AV118" s="192"/>
      <c r="AW118" s="192"/>
    </row>
    <row r="119" spans="1:49" ht="12.75" hidden="1" x14ac:dyDescent="0.2">
      <c r="A119" s="223" t="s">
        <v>501</v>
      </c>
      <c r="B119" s="224"/>
      <c r="C119" s="195" t="s">
        <v>502</v>
      </c>
      <c r="D119" s="192"/>
      <c r="E119" s="192"/>
      <c r="F119" s="192"/>
      <c r="G119" s="192"/>
      <c r="H119" s="192"/>
      <c r="I119" s="192"/>
      <c r="J119" s="192"/>
      <c r="K119" s="192"/>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2"/>
      <c r="AH119" s="192"/>
      <c r="AI119" s="192"/>
      <c r="AJ119" s="192"/>
      <c r="AK119" s="192"/>
      <c r="AL119" s="192"/>
      <c r="AM119" s="192"/>
      <c r="AN119" s="192"/>
      <c r="AO119" s="192"/>
      <c r="AP119" s="192"/>
      <c r="AQ119" s="192"/>
      <c r="AR119" s="192"/>
      <c r="AS119" s="192"/>
      <c r="AT119" s="192"/>
      <c r="AU119" s="192"/>
      <c r="AV119" s="192"/>
      <c r="AW119" s="192"/>
    </row>
    <row r="120" spans="1:49" s="163" customFormat="1" ht="12.75" hidden="1" x14ac:dyDescent="0.2">
      <c r="A120" s="225"/>
      <c r="B120" s="226"/>
      <c r="C120" s="196"/>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c r="AK120" s="197"/>
      <c r="AL120" s="197"/>
      <c r="AM120" s="197"/>
      <c r="AN120" s="197"/>
      <c r="AO120" s="197"/>
      <c r="AP120" s="197"/>
      <c r="AQ120" s="197"/>
      <c r="AR120" s="197"/>
      <c r="AS120" s="197"/>
      <c r="AT120" s="197"/>
      <c r="AU120" s="197"/>
      <c r="AV120" s="197"/>
      <c r="AW120" s="197"/>
    </row>
    <row r="121" spans="1:49" ht="12.75" hidden="1" x14ac:dyDescent="0.2">
      <c r="A121" s="223" t="s">
        <v>503</v>
      </c>
      <c r="B121" s="227"/>
      <c r="C121" s="192"/>
      <c r="D121" s="192"/>
      <c r="E121" s="192"/>
      <c r="F121" s="192"/>
      <c r="G121" s="192"/>
      <c r="H121" s="192"/>
      <c r="I121" s="192"/>
      <c r="J121" s="192"/>
      <c r="K121" s="192"/>
      <c r="L121" s="192"/>
      <c r="M121" s="19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2"/>
      <c r="AL121" s="192"/>
      <c r="AM121" s="192"/>
      <c r="AN121" s="192"/>
      <c r="AO121" s="192"/>
      <c r="AP121" s="192"/>
      <c r="AQ121" s="192"/>
      <c r="AR121" s="192"/>
      <c r="AS121" s="192"/>
      <c r="AT121" s="192"/>
      <c r="AU121" s="192"/>
      <c r="AV121" s="192"/>
      <c r="AW121" s="192"/>
    </row>
    <row r="122" spans="1:49" ht="12.75" hidden="1" x14ac:dyDescent="0.2">
      <c r="A122" s="223" t="s">
        <v>504</v>
      </c>
      <c r="B122" s="228"/>
      <c r="C122" s="192"/>
      <c r="D122" s="192"/>
      <c r="E122" s="192"/>
      <c r="F122" s="192"/>
      <c r="G122" s="192"/>
      <c r="H122" s="192"/>
      <c r="I122" s="192"/>
      <c r="J122" s="192"/>
      <c r="K122" s="192"/>
      <c r="L122" s="192"/>
      <c r="M122" s="192"/>
      <c r="N122" s="192"/>
      <c r="O122" s="192"/>
      <c r="P122" s="192"/>
      <c r="Q122" s="192"/>
      <c r="R122" s="192"/>
      <c r="S122" s="192"/>
      <c r="T122" s="192"/>
      <c r="U122" s="192"/>
      <c r="V122" s="192"/>
      <c r="W122" s="192"/>
      <c r="X122" s="192"/>
      <c r="Y122" s="192"/>
      <c r="Z122" s="192"/>
      <c r="AA122" s="192"/>
      <c r="AB122" s="192"/>
      <c r="AC122" s="192"/>
      <c r="AD122" s="192"/>
      <c r="AE122" s="192"/>
      <c r="AF122" s="192"/>
      <c r="AG122" s="192"/>
      <c r="AH122" s="192"/>
      <c r="AI122" s="192"/>
      <c r="AJ122" s="192"/>
      <c r="AK122" s="192"/>
      <c r="AL122" s="192"/>
      <c r="AM122" s="192"/>
      <c r="AN122" s="192"/>
      <c r="AO122" s="192"/>
      <c r="AP122" s="192"/>
      <c r="AQ122" s="192"/>
      <c r="AR122" s="192"/>
      <c r="AS122" s="192"/>
      <c r="AT122" s="192"/>
      <c r="AU122" s="192"/>
      <c r="AV122" s="192"/>
      <c r="AW122" s="192"/>
    </row>
    <row r="123" spans="1:49" ht="12.75" hidden="1" x14ac:dyDescent="0.2">
      <c r="A123" s="194"/>
      <c r="B123" s="198"/>
      <c r="C123" s="192"/>
      <c r="D123" s="192"/>
      <c r="E123" s="192"/>
      <c r="F123" s="192"/>
      <c r="G123" s="192"/>
      <c r="H123" s="192"/>
      <c r="I123" s="192"/>
      <c r="J123" s="192"/>
      <c r="K123" s="192"/>
      <c r="L123" s="192"/>
      <c r="M123" s="192"/>
      <c r="N123" s="192"/>
      <c r="O123" s="192"/>
      <c r="P123" s="192"/>
      <c r="Q123" s="192"/>
      <c r="R123" s="192"/>
      <c r="S123" s="192"/>
      <c r="T123" s="192"/>
      <c r="U123" s="192"/>
      <c r="V123" s="192"/>
      <c r="W123" s="192"/>
      <c r="X123" s="192"/>
      <c r="Y123" s="192"/>
      <c r="Z123" s="192"/>
      <c r="AA123" s="192"/>
      <c r="AB123" s="192"/>
      <c r="AC123" s="192"/>
      <c r="AD123" s="192"/>
      <c r="AE123" s="192"/>
      <c r="AF123" s="192"/>
      <c r="AG123" s="192"/>
      <c r="AH123" s="192"/>
      <c r="AI123" s="192"/>
      <c r="AJ123" s="192"/>
      <c r="AK123" s="192"/>
      <c r="AL123" s="192"/>
      <c r="AM123" s="192"/>
      <c r="AN123" s="192"/>
      <c r="AO123" s="192"/>
      <c r="AP123" s="192"/>
      <c r="AQ123" s="192"/>
      <c r="AR123" s="192"/>
      <c r="AS123" s="192"/>
      <c r="AT123" s="192"/>
      <c r="AU123" s="192"/>
      <c r="AV123" s="192"/>
      <c r="AW123" s="192"/>
    </row>
    <row r="124" spans="1:49" ht="12.75" hidden="1" x14ac:dyDescent="0.2">
      <c r="A124" s="223" t="s">
        <v>505</v>
      </c>
      <c r="B124" s="229"/>
      <c r="C124" s="192"/>
      <c r="D124" s="192"/>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192"/>
      <c r="AJ124" s="192"/>
      <c r="AK124" s="192"/>
      <c r="AL124" s="192"/>
      <c r="AM124" s="192"/>
      <c r="AN124" s="192"/>
      <c r="AO124" s="192"/>
      <c r="AP124" s="192"/>
      <c r="AQ124" s="192"/>
      <c r="AR124" s="192"/>
      <c r="AS124" s="192"/>
      <c r="AT124" s="192"/>
      <c r="AU124" s="192"/>
      <c r="AV124" s="192"/>
      <c r="AW124" s="192"/>
    </row>
    <row r="125" spans="1:49" ht="15" hidden="1" x14ac:dyDescent="0.2">
      <c r="A125" s="391"/>
      <c r="B125" s="392">
        <v>2024</v>
      </c>
      <c r="C125" s="393">
        <v>2025</v>
      </c>
      <c r="D125" s="393">
        <v>2026</v>
      </c>
      <c r="E125" s="393">
        <v>2027</v>
      </c>
      <c r="F125" s="393">
        <v>2028</v>
      </c>
      <c r="G125" s="393">
        <v>2029</v>
      </c>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c r="AT125" s="192"/>
      <c r="AU125" s="192"/>
      <c r="AV125" s="192"/>
      <c r="AW125" s="192"/>
    </row>
    <row r="126" spans="1:49" ht="12.75" hidden="1" x14ac:dyDescent="0.2">
      <c r="A126" s="390" t="s">
        <v>575</v>
      </c>
      <c r="B126" s="394">
        <v>2457.5300000000002</v>
      </c>
      <c r="C126" s="394">
        <v>2671.66</v>
      </c>
      <c r="D126" s="394">
        <v>2862.69</v>
      </c>
      <c r="E126" s="394">
        <v>3055.31</v>
      </c>
      <c r="F126" s="394">
        <v>3159.99</v>
      </c>
      <c r="G126" s="394">
        <v>3286.39</v>
      </c>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192"/>
      <c r="AF126" s="192"/>
      <c r="AG126" s="192"/>
      <c r="AH126" s="192"/>
      <c r="AI126" s="125"/>
      <c r="AJ126" s="125"/>
      <c r="AK126" s="125"/>
      <c r="AL126" s="192"/>
      <c r="AM126" s="192"/>
      <c r="AN126" s="192"/>
      <c r="AO126" s="192"/>
      <c r="AP126" s="192"/>
      <c r="AQ126" s="192"/>
      <c r="AR126" s="192"/>
      <c r="AS126" s="192"/>
      <c r="AT126" s="192"/>
      <c r="AU126" s="192"/>
      <c r="AV126" s="192"/>
      <c r="AW126" s="192"/>
    </row>
    <row r="127" spans="1:49" hidden="1" x14ac:dyDescent="0.2">
      <c r="A127" s="223" t="s">
        <v>506</v>
      </c>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25"/>
      <c r="AJ127" s="125"/>
      <c r="AK127" s="125"/>
      <c r="AL127" s="197"/>
      <c r="AM127" s="197"/>
      <c r="AN127" s="197"/>
      <c r="AO127" s="197"/>
      <c r="AP127" s="197"/>
      <c r="AQ127" s="197"/>
      <c r="AR127" s="197"/>
      <c r="AS127" s="197"/>
      <c r="AT127" s="197"/>
      <c r="AU127" s="197"/>
      <c r="AV127" s="197"/>
      <c r="AW127" s="197"/>
    </row>
    <row r="128" spans="1:49" ht="12.75" hidden="1" x14ac:dyDescent="0.2">
      <c r="A128" s="223"/>
      <c r="B128" s="230">
        <v>2023</v>
      </c>
      <c r="C128" s="230">
        <f>B128+1</f>
        <v>2024</v>
      </c>
      <c r="D128" s="230">
        <f t="shared" ref="D128:AH128" si="59">C128+1</f>
        <v>2025</v>
      </c>
      <c r="E128" s="230">
        <f t="shared" si="59"/>
        <v>2026</v>
      </c>
      <c r="F128" s="230">
        <f t="shared" si="59"/>
        <v>2027</v>
      </c>
      <c r="G128" s="230">
        <f t="shared" si="59"/>
        <v>2028</v>
      </c>
      <c r="H128" s="230">
        <f t="shared" si="59"/>
        <v>2029</v>
      </c>
      <c r="I128" s="230">
        <f t="shared" si="59"/>
        <v>2030</v>
      </c>
      <c r="J128" s="230">
        <f t="shared" si="59"/>
        <v>2031</v>
      </c>
      <c r="K128" s="230">
        <f t="shared" si="59"/>
        <v>2032</v>
      </c>
      <c r="L128" s="230">
        <f t="shared" si="59"/>
        <v>2033</v>
      </c>
      <c r="M128" s="230">
        <f t="shared" si="59"/>
        <v>2034</v>
      </c>
      <c r="N128" s="230">
        <f t="shared" si="59"/>
        <v>2035</v>
      </c>
      <c r="O128" s="230">
        <f t="shared" si="59"/>
        <v>2036</v>
      </c>
      <c r="P128" s="230">
        <f t="shared" si="59"/>
        <v>2037</v>
      </c>
      <c r="Q128" s="230">
        <f t="shared" si="59"/>
        <v>2038</v>
      </c>
      <c r="R128" s="230">
        <f t="shared" si="59"/>
        <v>2039</v>
      </c>
      <c r="S128" s="230">
        <f t="shared" si="59"/>
        <v>2040</v>
      </c>
      <c r="T128" s="230">
        <f t="shared" si="59"/>
        <v>2041</v>
      </c>
      <c r="U128" s="230">
        <f t="shared" si="59"/>
        <v>2042</v>
      </c>
      <c r="V128" s="230">
        <f t="shared" si="59"/>
        <v>2043</v>
      </c>
      <c r="W128" s="230">
        <f t="shared" si="59"/>
        <v>2044</v>
      </c>
      <c r="X128" s="230">
        <f t="shared" si="59"/>
        <v>2045</v>
      </c>
      <c r="Y128" s="230">
        <f t="shared" si="59"/>
        <v>2046</v>
      </c>
      <c r="Z128" s="230">
        <f t="shared" si="59"/>
        <v>2047</v>
      </c>
      <c r="AA128" s="230">
        <f t="shared" si="59"/>
        <v>2048</v>
      </c>
      <c r="AB128" s="230">
        <f t="shared" si="59"/>
        <v>2049</v>
      </c>
      <c r="AC128" s="230">
        <f t="shared" si="59"/>
        <v>2050</v>
      </c>
      <c r="AD128" s="230">
        <f t="shared" si="59"/>
        <v>2051</v>
      </c>
      <c r="AE128" s="230">
        <f t="shared" si="59"/>
        <v>2052</v>
      </c>
      <c r="AF128" s="230">
        <f t="shared" si="59"/>
        <v>2053</v>
      </c>
      <c r="AG128" s="230">
        <f t="shared" si="59"/>
        <v>2054</v>
      </c>
      <c r="AH128" s="230">
        <f t="shared" si="59"/>
        <v>2055</v>
      </c>
      <c r="AI128" s="125"/>
      <c r="AJ128" s="125"/>
      <c r="AK128" s="125"/>
      <c r="AL128" s="125"/>
      <c r="AM128" s="125"/>
      <c r="AN128" s="125"/>
      <c r="AO128" s="125"/>
      <c r="AP128" s="125"/>
      <c r="AQ128" s="125"/>
      <c r="AR128" s="125"/>
      <c r="AS128" s="125"/>
    </row>
    <row r="129" spans="1:71" ht="12.75" hidden="1" x14ac:dyDescent="0.2">
      <c r="A129" s="223" t="s">
        <v>507</v>
      </c>
      <c r="B129" s="387">
        <v>9.0964662608273128E-2</v>
      </c>
      <c r="C129" s="387">
        <v>9.1135032622053413E-2</v>
      </c>
      <c r="D129" s="387">
        <v>7.8163170639641913E-2</v>
      </c>
      <c r="E129" s="387">
        <v>5.2628968689616612E-2</v>
      </c>
      <c r="F129" s="387">
        <v>4.4208979893394937E-2</v>
      </c>
      <c r="G129" s="387">
        <f>F129</f>
        <v>4.4208979893394937E-2</v>
      </c>
      <c r="H129" s="231">
        <f t="shared" ref="H129:AH129" si="60">G129</f>
        <v>4.4208979893394937E-2</v>
      </c>
      <c r="I129" s="231">
        <f t="shared" si="60"/>
        <v>4.4208979893394937E-2</v>
      </c>
      <c r="J129" s="231">
        <f t="shared" si="60"/>
        <v>4.4208979893394937E-2</v>
      </c>
      <c r="K129" s="231">
        <f t="shared" si="60"/>
        <v>4.4208979893394937E-2</v>
      </c>
      <c r="L129" s="231">
        <f t="shared" si="60"/>
        <v>4.4208979893394937E-2</v>
      </c>
      <c r="M129" s="231">
        <f t="shared" si="60"/>
        <v>4.4208979893394937E-2</v>
      </c>
      <c r="N129" s="231">
        <f t="shared" si="60"/>
        <v>4.4208979893394937E-2</v>
      </c>
      <c r="O129" s="231">
        <f t="shared" si="60"/>
        <v>4.4208979893394937E-2</v>
      </c>
      <c r="P129" s="231">
        <f t="shared" si="60"/>
        <v>4.4208979893394937E-2</v>
      </c>
      <c r="Q129" s="231">
        <f t="shared" si="60"/>
        <v>4.4208979893394937E-2</v>
      </c>
      <c r="R129" s="231">
        <f t="shared" si="60"/>
        <v>4.4208979893394937E-2</v>
      </c>
      <c r="S129" s="231">
        <f t="shared" si="60"/>
        <v>4.4208979893394937E-2</v>
      </c>
      <c r="T129" s="231">
        <f t="shared" si="60"/>
        <v>4.4208979893394937E-2</v>
      </c>
      <c r="U129" s="231">
        <f t="shared" si="60"/>
        <v>4.4208979893394937E-2</v>
      </c>
      <c r="V129" s="231">
        <f t="shared" si="60"/>
        <v>4.4208979893394937E-2</v>
      </c>
      <c r="W129" s="231">
        <f t="shared" si="60"/>
        <v>4.4208979893394937E-2</v>
      </c>
      <c r="X129" s="231">
        <f t="shared" si="60"/>
        <v>4.4208979893394937E-2</v>
      </c>
      <c r="Y129" s="231">
        <f t="shared" si="60"/>
        <v>4.4208979893394937E-2</v>
      </c>
      <c r="Z129" s="231">
        <f t="shared" si="60"/>
        <v>4.4208979893394937E-2</v>
      </c>
      <c r="AA129" s="231">
        <f t="shared" si="60"/>
        <v>4.4208979893394937E-2</v>
      </c>
      <c r="AB129" s="231">
        <f t="shared" si="60"/>
        <v>4.4208979893394937E-2</v>
      </c>
      <c r="AC129" s="231">
        <f t="shared" si="60"/>
        <v>4.4208979893394937E-2</v>
      </c>
      <c r="AD129" s="231">
        <f t="shared" si="60"/>
        <v>4.4208979893394937E-2</v>
      </c>
      <c r="AE129" s="231">
        <f t="shared" si="60"/>
        <v>4.4208979893394937E-2</v>
      </c>
      <c r="AF129" s="231">
        <f t="shared" si="60"/>
        <v>4.4208979893394937E-2</v>
      </c>
      <c r="AG129" s="231">
        <f t="shared" si="60"/>
        <v>4.4208979893394937E-2</v>
      </c>
      <c r="AH129" s="231">
        <f t="shared" si="60"/>
        <v>4.4208979893394937E-2</v>
      </c>
      <c r="AI129" s="125"/>
      <c r="AJ129" s="125"/>
      <c r="AK129" s="125"/>
      <c r="AL129" s="125"/>
      <c r="AM129" s="125"/>
      <c r="AN129" s="125"/>
      <c r="AO129" s="125"/>
      <c r="AP129" s="125"/>
      <c r="AQ129" s="125"/>
      <c r="AR129" s="125"/>
      <c r="AS129" s="125"/>
    </row>
    <row r="130" spans="1:71" s="163" customFormat="1" ht="15" hidden="1" x14ac:dyDescent="0.2">
      <c r="A130" s="223" t="s">
        <v>508</v>
      </c>
      <c r="B130" s="203"/>
      <c r="C130" s="387">
        <v>9.1135032622053413E-2</v>
      </c>
      <c r="D130" s="203">
        <f t="shared" ref="D130:AH130" si="61">(1+C130)*(1+D129)-1</f>
        <v>0.17642160636778237</v>
      </c>
      <c r="E130" s="203">
        <f t="shared" si="61"/>
        <v>0.23833546225510083</v>
      </c>
      <c r="F130" s="203">
        <f t="shared" si="61"/>
        <v>0.29308100980721452</v>
      </c>
      <c r="G130" s="203">
        <f t="shared" si="61"/>
        <v>0.35024680217031245</v>
      </c>
      <c r="H130" s="203">
        <f t="shared" si="61"/>
        <v>0.40993983589858063</v>
      </c>
      <c r="I130" s="203">
        <f t="shared" si="61"/>
        <v>0.47227183775471748</v>
      </c>
      <c r="J130" s="203">
        <f t="shared" si="61"/>
        <v>0.53735947382762728</v>
      </c>
      <c r="K130" s="203">
        <f t="shared" si="61"/>
        <v>0.605324567894993</v>
      </c>
      <c r="L130" s="203">
        <f t="shared" si="61"/>
        <v>0.67629432943943568</v>
      </c>
      <c r="M130" s="203">
        <f t="shared" si="61"/>
        <v>0.75040159174503551</v>
      </c>
      <c r="N130" s="203">
        <f t="shared" si="61"/>
        <v>0.82778506051985823</v>
      </c>
      <c r="O130" s="203">
        <f t="shared" si="61"/>
        <v>0.90858957350982816</v>
      </c>
      <c r="P130" s="203">
        <f t="shared" si="61"/>
        <v>0.99296637158986734</v>
      </c>
      <c r="Q130" s="203">
        <f t="shared" si="61"/>
        <v>1.0810733818396958</v>
      </c>
      <c r="R130" s="203">
        <f t="shared" si="61"/>
        <v>1.1730755131341262</v>
      </c>
      <c r="S130" s="203">
        <f t="shared" si="61"/>
        <v>1.2691449648011015</v>
      </c>
      <c r="T130" s="203">
        <f t="shared" si="61"/>
        <v>1.3694615489251918</v>
      </c>
      <c r="U130" s="203">
        <f t="shared" si="61"/>
        <v>1.4742130268997977</v>
      </c>
      <c r="V130" s="203">
        <f t="shared" si="61"/>
        <v>1.5835954608579867</v>
      </c>
      <c r="W130" s="203">
        <f t="shared" si="61"/>
        <v>1.6978135806397239</v>
      </c>
      <c r="X130" s="203">
        <f t="shared" si="61"/>
        <v>1.8170811669823532</v>
      </c>
      <c r="Y130" s="203">
        <f t="shared" si="61"/>
        <v>1.9416214516515375</v>
      </c>
      <c r="Z130" s="203">
        <f t="shared" si="61"/>
        <v>2.0716675352615797</v>
      </c>
      <c r="AA130" s="203">
        <f t="shared" si="61"/>
        <v>2.2074628235671527</v>
      </c>
      <c r="AB130" s="203">
        <f t="shared" si="61"/>
        <v>2.3492614830430445</v>
      </c>
      <c r="AC130" s="203">
        <f t="shared" si="61"/>
        <v>2.4973289166046162</v>
      </c>
      <c r="AD130" s="203">
        <f t="shared" si="61"/>
        <v>2.6519422603593781</v>
      </c>
      <c r="AE130" s="203">
        <f t="shared" si="61"/>
        <v>2.813390902319445</v>
      </c>
      <c r="AF130" s="203">
        <f t="shared" si="61"/>
        <v>2.9819770240457402</v>
      </c>
      <c r="AG130" s="203">
        <f t="shared" si="61"/>
        <v>3.1580161662377391</v>
      </c>
      <c r="AH130" s="203">
        <f t="shared" si="61"/>
        <v>3.3418378193273544</v>
      </c>
    </row>
    <row r="131" spans="1:71" s="163" customFormat="1" hidden="1" x14ac:dyDescent="0.2">
      <c r="A131" s="199"/>
      <c r="B131" s="232"/>
      <c r="C131" s="233"/>
      <c r="D131" s="233"/>
      <c r="E131" s="233"/>
      <c r="F131" s="233"/>
      <c r="G131" s="233"/>
      <c r="H131" s="233"/>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233"/>
      <c r="AE131" s="233"/>
      <c r="AF131" s="233"/>
      <c r="AG131" s="233"/>
      <c r="AH131" s="233"/>
    </row>
    <row r="132" spans="1:71" ht="12.75" hidden="1" x14ac:dyDescent="0.2">
      <c r="A132" s="194"/>
      <c r="B132" s="230">
        <v>2023</v>
      </c>
      <c r="C132" s="230">
        <f>B132+1</f>
        <v>2024</v>
      </c>
      <c r="D132" s="230">
        <f t="shared" ref="D132:AH133" si="62">C132+1</f>
        <v>2025</v>
      </c>
      <c r="E132" s="230">
        <f t="shared" si="62"/>
        <v>2026</v>
      </c>
      <c r="F132" s="230">
        <f t="shared" si="62"/>
        <v>2027</v>
      </c>
      <c r="G132" s="230">
        <f t="shared" si="62"/>
        <v>2028</v>
      </c>
      <c r="H132" s="230">
        <f t="shared" si="62"/>
        <v>2029</v>
      </c>
      <c r="I132" s="230">
        <f t="shared" si="62"/>
        <v>2030</v>
      </c>
      <c r="J132" s="230">
        <f t="shared" si="62"/>
        <v>2031</v>
      </c>
      <c r="K132" s="230">
        <f t="shared" si="62"/>
        <v>2032</v>
      </c>
      <c r="L132" s="230">
        <f t="shared" si="62"/>
        <v>2033</v>
      </c>
      <c r="M132" s="230">
        <f t="shared" si="62"/>
        <v>2034</v>
      </c>
      <c r="N132" s="230">
        <f t="shared" si="62"/>
        <v>2035</v>
      </c>
      <c r="O132" s="230">
        <f t="shared" si="62"/>
        <v>2036</v>
      </c>
      <c r="P132" s="230">
        <f t="shared" si="62"/>
        <v>2037</v>
      </c>
      <c r="Q132" s="230">
        <f t="shared" si="62"/>
        <v>2038</v>
      </c>
      <c r="R132" s="230">
        <f t="shared" si="62"/>
        <v>2039</v>
      </c>
      <c r="S132" s="230">
        <f t="shared" si="62"/>
        <v>2040</v>
      </c>
      <c r="T132" s="230">
        <f t="shared" si="62"/>
        <v>2041</v>
      </c>
      <c r="U132" s="230">
        <f t="shared" si="62"/>
        <v>2042</v>
      </c>
      <c r="V132" s="230">
        <f t="shared" si="62"/>
        <v>2043</v>
      </c>
      <c r="W132" s="230">
        <f t="shared" si="62"/>
        <v>2044</v>
      </c>
      <c r="X132" s="230">
        <f t="shared" si="62"/>
        <v>2045</v>
      </c>
      <c r="Y132" s="230">
        <f t="shared" si="62"/>
        <v>2046</v>
      </c>
      <c r="Z132" s="230">
        <f t="shared" si="62"/>
        <v>2047</v>
      </c>
      <c r="AA132" s="230">
        <f t="shared" si="62"/>
        <v>2048</v>
      </c>
      <c r="AB132" s="230">
        <f t="shared" si="62"/>
        <v>2049</v>
      </c>
      <c r="AC132" s="230">
        <f t="shared" si="62"/>
        <v>2050</v>
      </c>
      <c r="AD132" s="230">
        <f t="shared" si="62"/>
        <v>2051</v>
      </c>
      <c r="AE132" s="230">
        <f t="shared" si="62"/>
        <v>2052</v>
      </c>
      <c r="AF132" s="230">
        <f t="shared" si="62"/>
        <v>2053</v>
      </c>
      <c r="AG132" s="230">
        <f t="shared" si="62"/>
        <v>2054</v>
      </c>
      <c r="AH132" s="230">
        <f t="shared" si="62"/>
        <v>2055</v>
      </c>
      <c r="AI132" s="192"/>
      <c r="AJ132" s="192"/>
      <c r="AK132" s="192"/>
      <c r="AL132" s="192"/>
      <c r="AM132" s="192"/>
      <c r="AN132" s="192"/>
      <c r="AO132" s="192"/>
      <c r="AP132" s="192"/>
      <c r="AQ132" s="192"/>
      <c r="AR132" s="192"/>
      <c r="AS132" s="192"/>
      <c r="AT132" s="192"/>
      <c r="AU132" s="192"/>
      <c r="AV132" s="192"/>
      <c r="AW132" s="192"/>
    </row>
    <row r="133" spans="1:71" hidden="1" x14ac:dyDescent="0.2">
      <c r="A133" s="194"/>
      <c r="B133" s="234">
        <v>0</v>
      </c>
      <c r="C133" s="388">
        <v>1</v>
      </c>
      <c r="D133" s="234">
        <f t="shared" si="62"/>
        <v>2</v>
      </c>
      <c r="E133" s="234">
        <f>D133+1</f>
        <v>3</v>
      </c>
      <c r="F133" s="234">
        <f t="shared" si="62"/>
        <v>4</v>
      </c>
      <c r="G133" s="234">
        <f t="shared" si="62"/>
        <v>5</v>
      </c>
      <c r="H133" s="234">
        <f t="shared" si="62"/>
        <v>6</v>
      </c>
      <c r="I133" s="234">
        <f t="shared" si="62"/>
        <v>7</v>
      </c>
      <c r="J133" s="234">
        <f t="shared" si="62"/>
        <v>8</v>
      </c>
      <c r="K133" s="234">
        <f t="shared" si="62"/>
        <v>9</v>
      </c>
      <c r="L133" s="234">
        <f t="shared" si="62"/>
        <v>10</v>
      </c>
      <c r="M133" s="234">
        <f t="shared" si="62"/>
        <v>11</v>
      </c>
      <c r="N133" s="234">
        <f t="shared" si="62"/>
        <v>12</v>
      </c>
      <c r="O133" s="234">
        <f t="shared" si="62"/>
        <v>13</v>
      </c>
      <c r="P133" s="234">
        <f t="shared" si="62"/>
        <v>14</v>
      </c>
      <c r="Q133" s="234">
        <f t="shared" si="62"/>
        <v>15</v>
      </c>
      <c r="R133" s="234">
        <f t="shared" si="62"/>
        <v>16</v>
      </c>
      <c r="S133" s="234">
        <f t="shared" si="62"/>
        <v>17</v>
      </c>
      <c r="T133" s="234">
        <f t="shared" si="62"/>
        <v>18</v>
      </c>
      <c r="U133" s="234">
        <f t="shared" si="62"/>
        <v>19</v>
      </c>
      <c r="V133" s="234">
        <f t="shared" si="62"/>
        <v>20</v>
      </c>
      <c r="W133" s="234">
        <f t="shared" si="62"/>
        <v>21</v>
      </c>
      <c r="X133" s="234">
        <f t="shared" si="62"/>
        <v>22</v>
      </c>
      <c r="Y133" s="234">
        <f t="shared" si="62"/>
        <v>23</v>
      </c>
      <c r="Z133" s="234">
        <f t="shared" si="62"/>
        <v>24</v>
      </c>
      <c r="AA133" s="234">
        <f t="shared" si="62"/>
        <v>25</v>
      </c>
      <c r="AB133" s="234">
        <f t="shared" si="62"/>
        <v>26</v>
      </c>
      <c r="AC133" s="234">
        <f t="shared" si="62"/>
        <v>27</v>
      </c>
      <c r="AD133" s="234">
        <f t="shared" si="62"/>
        <v>28</v>
      </c>
      <c r="AE133" s="234">
        <f t="shared" si="62"/>
        <v>29</v>
      </c>
      <c r="AF133" s="234">
        <f t="shared" si="62"/>
        <v>30</v>
      </c>
      <c r="AG133" s="234">
        <f t="shared" si="62"/>
        <v>31</v>
      </c>
      <c r="AH133" s="234">
        <f t="shared" si="62"/>
        <v>32</v>
      </c>
      <c r="AI133" s="192"/>
      <c r="AJ133" s="192"/>
      <c r="AK133" s="192"/>
      <c r="AL133" s="192"/>
      <c r="AM133" s="192"/>
      <c r="AN133" s="192"/>
      <c r="AO133" s="192"/>
      <c r="AP133" s="192"/>
      <c r="AQ133" s="192"/>
      <c r="AR133" s="192"/>
      <c r="AS133" s="192"/>
      <c r="AT133" s="192"/>
      <c r="AU133" s="192"/>
      <c r="AV133" s="192"/>
      <c r="AW133" s="192"/>
    </row>
    <row r="134" spans="1:71" ht="15" hidden="1" x14ac:dyDescent="0.2">
      <c r="A134" s="194"/>
      <c r="B134" s="235"/>
      <c r="C134" s="389">
        <f>AVERAGE(B133:C133)</f>
        <v>0.5</v>
      </c>
      <c r="D134" s="235">
        <f>AVERAGE(C133:D133)</f>
        <v>1.5</v>
      </c>
      <c r="E134" s="235">
        <f>AVERAGE(D133:E133)</f>
        <v>2.5</v>
      </c>
      <c r="F134" s="235">
        <f t="shared" ref="F134:AH134" si="63">AVERAGE(E133:F133)</f>
        <v>3.5</v>
      </c>
      <c r="G134" s="235">
        <f t="shared" si="63"/>
        <v>4.5</v>
      </c>
      <c r="H134" s="235">
        <f t="shared" si="63"/>
        <v>5.5</v>
      </c>
      <c r="I134" s="235">
        <f t="shared" si="63"/>
        <v>6.5</v>
      </c>
      <c r="J134" s="235">
        <f t="shared" si="63"/>
        <v>7.5</v>
      </c>
      <c r="K134" s="235">
        <f t="shared" si="63"/>
        <v>8.5</v>
      </c>
      <c r="L134" s="235">
        <f t="shared" si="63"/>
        <v>9.5</v>
      </c>
      <c r="M134" s="235">
        <f t="shared" si="63"/>
        <v>10.5</v>
      </c>
      <c r="N134" s="235">
        <f t="shared" si="63"/>
        <v>11.5</v>
      </c>
      <c r="O134" s="235">
        <f t="shared" si="63"/>
        <v>12.5</v>
      </c>
      <c r="P134" s="235">
        <f t="shared" si="63"/>
        <v>13.5</v>
      </c>
      <c r="Q134" s="235">
        <f t="shared" si="63"/>
        <v>14.5</v>
      </c>
      <c r="R134" s="235">
        <f t="shared" si="63"/>
        <v>15.5</v>
      </c>
      <c r="S134" s="235">
        <f t="shared" si="63"/>
        <v>16.5</v>
      </c>
      <c r="T134" s="235">
        <f t="shared" si="63"/>
        <v>17.5</v>
      </c>
      <c r="U134" s="235">
        <f t="shared" si="63"/>
        <v>18.5</v>
      </c>
      <c r="V134" s="235">
        <f t="shared" si="63"/>
        <v>19.5</v>
      </c>
      <c r="W134" s="235">
        <f t="shared" si="63"/>
        <v>20.5</v>
      </c>
      <c r="X134" s="235">
        <f t="shared" si="63"/>
        <v>21.5</v>
      </c>
      <c r="Y134" s="235">
        <f t="shared" si="63"/>
        <v>22.5</v>
      </c>
      <c r="Z134" s="235">
        <f t="shared" si="63"/>
        <v>23.5</v>
      </c>
      <c r="AA134" s="235">
        <f t="shared" si="63"/>
        <v>24.5</v>
      </c>
      <c r="AB134" s="235">
        <f t="shared" si="63"/>
        <v>25.5</v>
      </c>
      <c r="AC134" s="235">
        <f t="shared" si="63"/>
        <v>26.5</v>
      </c>
      <c r="AD134" s="235">
        <f t="shared" si="63"/>
        <v>27.5</v>
      </c>
      <c r="AE134" s="235">
        <f t="shared" si="63"/>
        <v>28.5</v>
      </c>
      <c r="AF134" s="235">
        <f t="shared" si="63"/>
        <v>29.5</v>
      </c>
      <c r="AG134" s="235">
        <f t="shared" si="63"/>
        <v>30.5</v>
      </c>
      <c r="AH134" s="235">
        <f t="shared" si="63"/>
        <v>31.5</v>
      </c>
      <c r="AI134" s="192"/>
      <c r="AJ134" s="192"/>
      <c r="AK134" s="192"/>
      <c r="AL134" s="192"/>
      <c r="AM134" s="192"/>
      <c r="AN134" s="192"/>
      <c r="AO134" s="192"/>
      <c r="AP134" s="192"/>
      <c r="AQ134" s="192"/>
      <c r="AR134" s="192"/>
      <c r="AS134" s="192"/>
      <c r="AT134" s="192"/>
      <c r="AU134" s="192"/>
      <c r="AV134" s="192"/>
      <c r="AW134" s="192"/>
    </row>
    <row r="135" spans="1:71" ht="23.25" hidden="1" customHeight="1" x14ac:dyDescent="0.2">
      <c r="A135" s="194"/>
      <c r="B135" s="192"/>
      <c r="C135" s="192"/>
      <c r="D135" s="192"/>
      <c r="E135" s="192"/>
      <c r="F135" s="192"/>
      <c r="G135" s="192"/>
      <c r="H135" s="192"/>
      <c r="I135" s="192"/>
      <c r="J135" s="192"/>
      <c r="K135" s="192"/>
      <c r="L135" s="192"/>
      <c r="M135" s="192"/>
      <c r="N135" s="192"/>
      <c r="O135" s="192"/>
      <c r="P135" s="192"/>
      <c r="Q135" s="192"/>
      <c r="R135" s="192"/>
      <c r="S135" s="192"/>
      <c r="T135" s="192"/>
      <c r="U135" s="192"/>
      <c r="V135" s="192"/>
      <c r="W135" s="192"/>
      <c r="X135" s="192"/>
      <c r="Y135" s="192"/>
      <c r="Z135" s="192"/>
      <c r="AA135" s="192"/>
      <c r="AB135" s="192"/>
      <c r="AC135" s="192"/>
      <c r="AD135" s="192"/>
      <c r="AE135" s="192"/>
      <c r="AF135" s="192"/>
      <c r="AG135" s="192"/>
      <c r="AH135" s="192"/>
      <c r="AI135" s="192"/>
      <c r="AJ135" s="192"/>
      <c r="AK135" s="192"/>
      <c r="AL135" s="192"/>
      <c r="AM135" s="192"/>
      <c r="AN135" s="192"/>
      <c r="AO135" s="192"/>
      <c r="AP135" s="192"/>
      <c r="AR135" s="192"/>
      <c r="AS135" s="192"/>
      <c r="AT135" s="192"/>
      <c r="AU135" s="192"/>
      <c r="AV135" s="192"/>
      <c r="AW135" s="192"/>
      <c r="AX135" s="192"/>
      <c r="AY135" s="192"/>
      <c r="AZ135" s="192"/>
      <c r="BA135" s="192"/>
      <c r="BB135" s="192"/>
      <c r="BC135" s="192"/>
      <c r="BD135" s="192"/>
      <c r="BE135" s="192"/>
      <c r="BF135" s="192"/>
      <c r="BG135" s="192"/>
      <c r="BH135" s="192"/>
      <c r="BI135" s="192"/>
      <c r="BJ135" s="192"/>
      <c r="BK135" s="192"/>
      <c r="BL135" s="192"/>
      <c r="BM135" s="192"/>
      <c r="BN135" s="192"/>
      <c r="BO135" s="192"/>
      <c r="BP135" s="192"/>
      <c r="BQ135" s="192"/>
      <c r="BR135" s="192"/>
      <c r="BS135" s="192"/>
    </row>
    <row r="136" spans="1:71" ht="12.75" hidden="1" x14ac:dyDescent="0.2">
      <c r="A136" s="194"/>
      <c r="B136" s="192"/>
      <c r="C136" s="192"/>
      <c r="D136" s="192"/>
      <c r="E136" s="192"/>
      <c r="F136" s="192"/>
      <c r="G136" s="192"/>
      <c r="H136" s="192"/>
      <c r="I136" s="192"/>
      <c r="J136" s="192"/>
      <c r="K136" s="192"/>
      <c r="L136" s="192"/>
      <c r="M136" s="192"/>
      <c r="N136" s="192"/>
      <c r="O136" s="192"/>
      <c r="P136" s="192"/>
      <c r="Q136" s="192"/>
      <c r="R136" s="192"/>
      <c r="S136" s="192"/>
      <c r="T136" s="192"/>
      <c r="U136" s="192"/>
      <c r="V136" s="192"/>
      <c r="W136" s="192"/>
      <c r="X136" s="192"/>
      <c r="Y136" s="192"/>
      <c r="Z136" s="192"/>
      <c r="AA136" s="192"/>
      <c r="AB136" s="192"/>
      <c r="AC136" s="192"/>
      <c r="AD136" s="192"/>
      <c r="AE136" s="192"/>
      <c r="AF136" s="192"/>
      <c r="AG136" s="192"/>
      <c r="AH136" s="192"/>
      <c r="AI136" s="192"/>
      <c r="AJ136" s="192"/>
      <c r="AK136" s="192"/>
      <c r="AL136" s="192"/>
      <c r="AM136" s="192"/>
      <c r="AN136" s="192"/>
      <c r="AO136" s="192"/>
      <c r="AP136" s="192"/>
      <c r="AQ136" s="192"/>
      <c r="AR136" s="192"/>
      <c r="AS136" s="192"/>
      <c r="AT136" s="192"/>
      <c r="AU136" s="192"/>
      <c r="AV136" s="192"/>
      <c r="AW136" s="192"/>
      <c r="AX136" s="192"/>
      <c r="AY136" s="192"/>
      <c r="AZ136" s="192"/>
      <c r="BA136" s="192"/>
      <c r="BB136" s="192"/>
      <c r="BC136" s="192"/>
      <c r="BD136" s="192"/>
      <c r="BE136" s="192"/>
      <c r="BF136" s="192"/>
      <c r="BG136" s="192"/>
      <c r="BH136" s="192"/>
      <c r="BI136" s="192"/>
      <c r="BJ136" s="192"/>
      <c r="BK136" s="192"/>
      <c r="BL136" s="192"/>
      <c r="BM136" s="192"/>
      <c r="BN136" s="192"/>
      <c r="BO136" s="192"/>
      <c r="BP136" s="192"/>
      <c r="BQ136" s="192"/>
      <c r="BR136" s="192"/>
      <c r="BS136" s="192"/>
    </row>
    <row r="137" spans="1:71" ht="12.75" hidden="1" x14ac:dyDescent="0.2">
      <c r="A137" s="194"/>
      <c r="B137" s="192"/>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92"/>
      <c r="AR137" s="192"/>
      <c r="AS137" s="192"/>
      <c r="AT137" s="192"/>
      <c r="AU137" s="192"/>
      <c r="AV137" s="192"/>
      <c r="AW137" s="192"/>
      <c r="AX137" s="192"/>
      <c r="AY137" s="192"/>
      <c r="AZ137" s="192"/>
      <c r="BA137" s="192"/>
      <c r="BB137" s="192"/>
      <c r="BC137" s="192"/>
      <c r="BD137" s="192"/>
      <c r="BE137" s="192"/>
      <c r="BF137" s="192"/>
      <c r="BG137" s="192"/>
      <c r="BH137" s="192"/>
      <c r="BI137" s="192"/>
      <c r="BJ137" s="192"/>
      <c r="BK137" s="192"/>
      <c r="BL137" s="192"/>
      <c r="BM137" s="192"/>
      <c r="BN137" s="192"/>
      <c r="BO137" s="192"/>
      <c r="BP137" s="192"/>
      <c r="BQ137" s="192"/>
      <c r="BR137" s="192"/>
      <c r="BS137" s="192"/>
    </row>
    <row r="138" spans="1:71" ht="12.75" hidden="1" x14ac:dyDescent="0.2">
      <c r="A138" s="194"/>
      <c r="B138" s="192"/>
      <c r="C138" s="192"/>
      <c r="D138" s="192"/>
      <c r="E138" s="192"/>
      <c r="F138" s="192"/>
      <c r="G138" s="192"/>
      <c r="H138" s="192"/>
      <c r="I138" s="192"/>
      <c r="J138" s="192"/>
      <c r="K138" s="192"/>
      <c r="L138" s="192"/>
      <c r="M138" s="192"/>
      <c r="N138" s="192"/>
      <c r="O138" s="192"/>
      <c r="P138" s="192"/>
      <c r="Q138" s="192"/>
      <c r="R138" s="192"/>
      <c r="S138" s="192"/>
      <c r="T138" s="192"/>
      <c r="U138" s="192"/>
      <c r="V138" s="192"/>
      <c r="W138" s="192"/>
      <c r="X138" s="192"/>
      <c r="Y138" s="192"/>
      <c r="Z138" s="192"/>
      <c r="AA138" s="192"/>
      <c r="AB138" s="192"/>
      <c r="AC138" s="192"/>
      <c r="AD138" s="192"/>
      <c r="AE138" s="192"/>
      <c r="AF138" s="192"/>
      <c r="AG138" s="192"/>
      <c r="AH138" s="192"/>
      <c r="AI138" s="192"/>
      <c r="AJ138" s="192"/>
      <c r="AK138" s="192"/>
      <c r="AL138" s="192"/>
      <c r="AM138" s="192"/>
      <c r="AN138" s="192"/>
      <c r="AO138" s="192"/>
      <c r="AP138" s="192"/>
      <c r="AQ138" s="192"/>
      <c r="AR138" s="192"/>
      <c r="AS138" s="192"/>
      <c r="AT138" s="192"/>
      <c r="AU138" s="192"/>
      <c r="AV138" s="192"/>
      <c r="AW138" s="192"/>
      <c r="AX138" s="192"/>
      <c r="AY138" s="192"/>
      <c r="AZ138" s="192"/>
      <c r="BA138" s="192"/>
      <c r="BB138" s="192"/>
      <c r="BC138" s="192"/>
      <c r="BD138" s="192"/>
      <c r="BE138" s="192"/>
      <c r="BF138" s="192"/>
      <c r="BG138" s="192"/>
      <c r="BH138" s="192"/>
      <c r="BI138" s="192"/>
      <c r="BJ138" s="192"/>
      <c r="BK138" s="192"/>
      <c r="BL138" s="192"/>
      <c r="BM138" s="192"/>
      <c r="BN138" s="192"/>
      <c r="BO138" s="192"/>
      <c r="BP138" s="192"/>
      <c r="BQ138" s="192"/>
      <c r="BR138" s="192"/>
      <c r="BS138" s="192"/>
    </row>
    <row r="139" spans="1:71" ht="12.75" hidden="1" x14ac:dyDescent="0.2">
      <c r="A139" s="194"/>
      <c r="B139" s="192"/>
      <c r="C139" s="192"/>
      <c r="D139" s="192"/>
      <c r="E139" s="192"/>
      <c r="F139" s="192"/>
      <c r="G139" s="192"/>
      <c r="H139" s="192"/>
      <c r="I139" s="192"/>
      <c r="J139" s="192"/>
      <c r="K139" s="192"/>
      <c r="L139" s="192"/>
      <c r="M139" s="192"/>
      <c r="N139" s="192"/>
      <c r="O139" s="192"/>
      <c r="P139" s="192"/>
      <c r="Q139" s="192"/>
      <c r="R139" s="192"/>
      <c r="S139" s="192"/>
      <c r="T139" s="192"/>
      <c r="U139" s="192"/>
      <c r="V139" s="192"/>
      <c r="W139" s="192"/>
      <c r="X139" s="192"/>
      <c r="Y139" s="192"/>
      <c r="Z139" s="192"/>
      <c r="AA139" s="192"/>
      <c r="AB139" s="192"/>
      <c r="AC139" s="192"/>
      <c r="AD139" s="192"/>
      <c r="AE139" s="192"/>
      <c r="AF139" s="192"/>
      <c r="AG139" s="192"/>
      <c r="AH139" s="192"/>
      <c r="AI139" s="192"/>
      <c r="AJ139" s="192"/>
      <c r="AK139" s="192"/>
      <c r="AL139" s="192"/>
      <c r="AM139" s="192"/>
      <c r="AN139" s="192"/>
      <c r="AO139" s="192"/>
      <c r="AP139" s="192"/>
      <c r="AQ139" s="192"/>
      <c r="AR139" s="192"/>
      <c r="AS139" s="192"/>
      <c r="AT139" s="192"/>
      <c r="AU139" s="192"/>
      <c r="AV139" s="192"/>
      <c r="AW139" s="192"/>
      <c r="AX139" s="192"/>
      <c r="AY139" s="192"/>
      <c r="AZ139" s="192"/>
      <c r="BA139" s="192"/>
      <c r="BB139" s="192"/>
      <c r="BC139" s="192"/>
      <c r="BD139" s="192"/>
      <c r="BE139" s="192"/>
      <c r="BF139" s="192"/>
      <c r="BG139" s="192"/>
      <c r="BH139" s="192"/>
      <c r="BI139" s="192"/>
      <c r="BJ139" s="192"/>
      <c r="BK139" s="192"/>
      <c r="BL139" s="192"/>
      <c r="BM139" s="192"/>
      <c r="BN139" s="192"/>
      <c r="BO139" s="192"/>
      <c r="BP139" s="192"/>
      <c r="BQ139" s="192"/>
      <c r="BR139" s="192"/>
      <c r="BS139" s="192"/>
    </row>
    <row r="140" spans="1:71" ht="12.75" x14ac:dyDescent="0.2">
      <c r="A140" s="194"/>
      <c r="B140" s="192"/>
      <c r="C140" s="192"/>
      <c r="D140" s="192"/>
      <c r="E140" s="192"/>
      <c r="F140" s="192"/>
      <c r="G140" s="192"/>
      <c r="H140" s="192"/>
      <c r="I140" s="192"/>
      <c r="J140" s="192"/>
      <c r="K140" s="192"/>
      <c r="L140" s="192"/>
      <c r="M140" s="192"/>
      <c r="N140" s="192"/>
      <c r="O140" s="192"/>
      <c r="P140" s="192"/>
      <c r="Q140" s="192"/>
      <c r="R140" s="192"/>
      <c r="S140" s="192"/>
      <c r="T140" s="192"/>
      <c r="U140" s="192"/>
      <c r="V140" s="192"/>
      <c r="W140" s="192"/>
      <c r="X140" s="192"/>
      <c r="Y140" s="192"/>
      <c r="Z140" s="192"/>
      <c r="AA140" s="192"/>
      <c r="AB140" s="192"/>
      <c r="AC140" s="192"/>
      <c r="AD140" s="192"/>
      <c r="AE140" s="192"/>
      <c r="AF140" s="192"/>
      <c r="AG140" s="192"/>
      <c r="AH140" s="192"/>
      <c r="AI140" s="192"/>
      <c r="AJ140" s="192"/>
      <c r="AK140" s="192"/>
      <c r="AL140" s="192"/>
      <c r="AM140" s="192"/>
      <c r="AN140" s="192"/>
      <c r="AO140" s="192"/>
      <c r="AP140" s="192"/>
      <c r="AQ140" s="192"/>
      <c r="AR140" s="192"/>
      <c r="AS140" s="192"/>
      <c r="AT140" s="192"/>
      <c r="AU140" s="192"/>
      <c r="AV140" s="192"/>
      <c r="AW140" s="192"/>
      <c r="AX140" s="192"/>
      <c r="AY140" s="192"/>
      <c r="AZ140" s="192"/>
      <c r="BA140" s="192"/>
      <c r="BB140" s="192"/>
      <c r="BC140" s="192"/>
      <c r="BD140" s="192"/>
      <c r="BE140" s="192"/>
      <c r="BF140" s="192"/>
      <c r="BG140" s="192"/>
      <c r="BH140" s="192"/>
      <c r="BI140" s="192"/>
      <c r="BJ140" s="192"/>
      <c r="BK140" s="192"/>
      <c r="BL140" s="192"/>
      <c r="BM140" s="192"/>
      <c r="BN140" s="192"/>
      <c r="BO140" s="192"/>
      <c r="BP140" s="192"/>
      <c r="BQ140" s="192"/>
      <c r="BR140" s="192"/>
      <c r="BS140" s="192"/>
    </row>
    <row r="141" spans="1:71" ht="12.75" x14ac:dyDescent="0.2">
      <c r="A141" s="194"/>
      <c r="B141" s="192"/>
      <c r="C141" s="192"/>
      <c r="D141" s="192"/>
      <c r="E141" s="192"/>
      <c r="F141" s="192"/>
      <c r="G141" s="192"/>
      <c r="H141" s="192"/>
      <c r="I141" s="192"/>
      <c r="J141" s="192"/>
      <c r="K141" s="192"/>
      <c r="L141" s="192"/>
      <c r="M141" s="192"/>
      <c r="N141" s="192"/>
      <c r="O141" s="192"/>
      <c r="P141" s="192"/>
      <c r="Q141" s="192"/>
      <c r="R141" s="192"/>
      <c r="S141" s="192"/>
      <c r="T141" s="192"/>
      <c r="U141" s="192"/>
      <c r="V141" s="192"/>
      <c r="W141" s="192"/>
      <c r="X141" s="192"/>
      <c r="Y141" s="192"/>
      <c r="Z141" s="192"/>
      <c r="AA141" s="192"/>
      <c r="AB141" s="192"/>
      <c r="AC141" s="192"/>
      <c r="AD141" s="192"/>
      <c r="AE141" s="192"/>
      <c r="AF141" s="192"/>
      <c r="AG141" s="192"/>
      <c r="AH141" s="192"/>
      <c r="AI141" s="192"/>
      <c r="AJ141" s="192"/>
      <c r="AK141" s="192"/>
      <c r="AL141" s="192"/>
      <c r="AM141" s="192"/>
      <c r="AN141" s="192"/>
      <c r="AO141" s="192"/>
      <c r="AP141" s="192"/>
      <c r="AQ141" s="192"/>
      <c r="AR141" s="192"/>
      <c r="AS141" s="192"/>
      <c r="AT141" s="192"/>
      <c r="AU141" s="192"/>
      <c r="AV141" s="192"/>
      <c r="AW141" s="192"/>
      <c r="AX141" s="192"/>
      <c r="AY141" s="192"/>
      <c r="AZ141" s="192"/>
      <c r="BA141" s="192"/>
      <c r="BB141" s="192"/>
      <c r="BC141" s="192"/>
      <c r="BD141" s="192"/>
      <c r="BE141" s="192"/>
      <c r="BF141" s="192"/>
      <c r="BG141" s="192"/>
      <c r="BH141" s="192"/>
      <c r="BI141" s="192"/>
      <c r="BJ141" s="192"/>
      <c r="BK141" s="192"/>
      <c r="BL141" s="192"/>
      <c r="BM141" s="192"/>
      <c r="BN141" s="192"/>
      <c r="BO141" s="192"/>
      <c r="BP141" s="192"/>
      <c r="BQ141" s="192"/>
      <c r="BR141" s="192"/>
      <c r="BS141" s="192"/>
    </row>
    <row r="142" spans="1:71" ht="12.75" x14ac:dyDescent="0.2">
      <c r="A142" s="194"/>
      <c r="B142" s="192"/>
      <c r="C142" s="192"/>
      <c r="D142" s="192"/>
      <c r="E142" s="192"/>
      <c r="F142" s="192"/>
      <c r="G142" s="192"/>
      <c r="H142" s="192"/>
      <c r="I142" s="192"/>
      <c r="J142" s="192"/>
      <c r="K142" s="192"/>
      <c r="L142" s="192"/>
      <c r="M142" s="192"/>
      <c r="N142" s="192"/>
      <c r="O142" s="192"/>
      <c r="P142" s="192"/>
      <c r="Q142" s="192"/>
      <c r="R142" s="192"/>
      <c r="S142" s="192"/>
      <c r="T142" s="192"/>
      <c r="U142" s="192"/>
      <c r="V142" s="192"/>
      <c r="W142" s="192"/>
      <c r="X142" s="192"/>
      <c r="Y142" s="192"/>
      <c r="Z142" s="192"/>
      <c r="AA142" s="192"/>
      <c r="AB142" s="192"/>
      <c r="AC142" s="192"/>
      <c r="AD142" s="192"/>
      <c r="AE142" s="192"/>
      <c r="AF142" s="192"/>
      <c r="AG142" s="192"/>
      <c r="AH142" s="192"/>
      <c r="AI142" s="192"/>
      <c r="AJ142" s="192"/>
      <c r="AK142" s="192"/>
      <c r="AL142" s="192"/>
      <c r="AM142" s="192"/>
      <c r="AN142" s="192"/>
      <c r="AO142" s="192"/>
      <c r="AP142" s="192"/>
      <c r="AQ142" s="192"/>
      <c r="AR142" s="192"/>
      <c r="AS142" s="192"/>
      <c r="AT142" s="192"/>
      <c r="AU142" s="192"/>
      <c r="AV142" s="192"/>
      <c r="AW142" s="192"/>
      <c r="AX142" s="192"/>
      <c r="AY142" s="192"/>
      <c r="AZ142" s="192"/>
      <c r="BA142" s="192"/>
      <c r="BB142" s="192"/>
      <c r="BC142" s="192"/>
      <c r="BD142" s="192"/>
      <c r="BE142" s="192"/>
      <c r="BF142" s="192"/>
      <c r="BG142" s="192"/>
      <c r="BH142" s="192"/>
      <c r="BI142" s="192"/>
      <c r="BJ142" s="192"/>
      <c r="BK142" s="192"/>
      <c r="BL142" s="192"/>
      <c r="BM142" s="192"/>
      <c r="BN142" s="192"/>
      <c r="BO142" s="192"/>
      <c r="BP142" s="192"/>
      <c r="BQ142" s="192"/>
      <c r="BR142" s="192"/>
      <c r="BS142" s="192"/>
    </row>
    <row r="143" spans="1:71" ht="12.75" x14ac:dyDescent="0.2">
      <c r="A143" s="194"/>
      <c r="B143" s="192"/>
      <c r="C143" s="192"/>
      <c r="D143" s="192"/>
      <c r="E143" s="192"/>
      <c r="F143" s="192"/>
      <c r="G143" s="192"/>
      <c r="H143" s="192"/>
      <c r="I143" s="192"/>
      <c r="J143" s="192"/>
      <c r="K143" s="192"/>
      <c r="L143" s="192"/>
      <c r="M143" s="192"/>
      <c r="N143" s="192"/>
      <c r="O143" s="192"/>
      <c r="P143" s="192"/>
      <c r="Q143" s="192"/>
      <c r="R143" s="192"/>
      <c r="S143" s="192"/>
      <c r="T143" s="192"/>
      <c r="U143" s="192"/>
      <c r="V143" s="192"/>
      <c r="W143" s="192"/>
      <c r="X143" s="192"/>
      <c r="Y143" s="192"/>
      <c r="Z143" s="192"/>
      <c r="AA143" s="192"/>
      <c r="AB143" s="192"/>
      <c r="AC143" s="192"/>
      <c r="AD143" s="192"/>
      <c r="AE143" s="192"/>
      <c r="AF143" s="192"/>
      <c r="AG143" s="192"/>
      <c r="AH143" s="192"/>
      <c r="AI143" s="192"/>
      <c r="AJ143" s="192"/>
      <c r="AK143" s="192"/>
      <c r="AL143" s="192"/>
      <c r="AM143" s="192"/>
      <c r="AN143" s="192"/>
      <c r="AO143" s="192"/>
      <c r="AP143" s="192"/>
      <c r="AQ143" s="192"/>
      <c r="AR143" s="192"/>
      <c r="AS143" s="192"/>
      <c r="AT143" s="192"/>
      <c r="AU143" s="192"/>
      <c r="AV143" s="192"/>
      <c r="AW143" s="192"/>
      <c r="AX143" s="192"/>
      <c r="AY143" s="192"/>
      <c r="AZ143" s="192"/>
      <c r="BA143" s="192"/>
      <c r="BB143" s="192"/>
      <c r="BC143" s="192"/>
      <c r="BD143" s="192"/>
      <c r="BE143" s="192"/>
      <c r="BF143" s="192"/>
      <c r="BG143" s="192"/>
      <c r="BH143" s="192"/>
      <c r="BI143" s="192"/>
      <c r="BJ143" s="192"/>
      <c r="BK143" s="192"/>
      <c r="BL143" s="192"/>
      <c r="BM143" s="192"/>
      <c r="BN143" s="192"/>
      <c r="BO143" s="192"/>
      <c r="BP143" s="192"/>
      <c r="BQ143" s="192"/>
      <c r="BR143" s="192"/>
      <c r="BS143" s="192"/>
    </row>
    <row r="144" spans="1:71" ht="12.75" x14ac:dyDescent="0.2">
      <c r="A144" s="194"/>
      <c r="B144" s="192"/>
      <c r="C144" s="192"/>
      <c r="D144" s="192"/>
      <c r="E144" s="192"/>
      <c r="F144" s="192"/>
      <c r="G144" s="192"/>
      <c r="H144" s="192"/>
      <c r="I144" s="192"/>
      <c r="J144" s="192"/>
      <c r="K144" s="192"/>
      <c r="L144" s="192"/>
      <c r="M144" s="192"/>
      <c r="N144" s="192"/>
      <c r="O144" s="192"/>
      <c r="P144" s="192"/>
      <c r="Q144" s="192"/>
      <c r="R144" s="192"/>
      <c r="S144" s="192"/>
      <c r="T144" s="192"/>
      <c r="U144" s="192"/>
      <c r="V144" s="192"/>
      <c r="W144" s="192"/>
      <c r="X144" s="192"/>
      <c r="Y144" s="192"/>
      <c r="Z144" s="192"/>
      <c r="AA144" s="192"/>
      <c r="AB144" s="192"/>
      <c r="AC144" s="192"/>
      <c r="AD144" s="192"/>
      <c r="AE144" s="192"/>
      <c r="AF144" s="192"/>
      <c r="AG144" s="192"/>
      <c r="AH144" s="192"/>
      <c r="AI144" s="192"/>
      <c r="AJ144" s="192"/>
      <c r="AK144" s="192"/>
      <c r="AL144" s="192"/>
      <c r="AM144" s="192"/>
      <c r="AN144" s="192"/>
      <c r="AO144" s="192"/>
      <c r="AP144" s="192"/>
      <c r="AQ144" s="192"/>
      <c r="AR144" s="192"/>
      <c r="AS144" s="192"/>
      <c r="AT144" s="192"/>
      <c r="AU144" s="192"/>
      <c r="AV144" s="192"/>
      <c r="AW144" s="192"/>
      <c r="AX144" s="192"/>
      <c r="AY144" s="192"/>
      <c r="AZ144" s="192"/>
      <c r="BA144" s="192"/>
      <c r="BB144" s="192"/>
      <c r="BC144" s="192"/>
      <c r="BD144" s="192"/>
      <c r="BE144" s="192"/>
      <c r="BF144" s="192"/>
      <c r="BG144" s="192"/>
      <c r="BH144" s="192"/>
      <c r="BI144" s="192"/>
      <c r="BJ144" s="192"/>
      <c r="BK144" s="192"/>
      <c r="BL144" s="192"/>
      <c r="BM144" s="192"/>
      <c r="BN144" s="192"/>
      <c r="BO144" s="192"/>
      <c r="BP144" s="192"/>
      <c r="BQ144" s="192"/>
      <c r="BR144" s="192"/>
      <c r="BS144" s="192"/>
    </row>
    <row r="145" spans="1:71" ht="12.75" x14ac:dyDescent="0.2">
      <c r="A145" s="193"/>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1"/>
      <c r="AR145" s="191"/>
      <c r="AS145" s="191"/>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x14ac:dyDescent="0.2">
      <c r="A146" s="193"/>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1"/>
      <c r="AR146" s="191"/>
      <c r="AS146" s="191"/>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x14ac:dyDescent="0.2">
      <c r="A147" s="193"/>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1"/>
      <c r="AR147" s="191"/>
      <c r="AS147" s="191"/>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x14ac:dyDescent="0.2">
      <c r="A148" s="193"/>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1"/>
      <c r="AR148" s="191"/>
      <c r="AS148" s="191"/>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x14ac:dyDescent="0.2">
      <c r="A149" s="193"/>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1"/>
      <c r="AR149" s="191"/>
      <c r="AS149" s="191"/>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x14ac:dyDescent="0.2">
      <c r="A150" s="193"/>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1"/>
      <c r="AR150" s="191"/>
      <c r="AS150" s="191"/>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x14ac:dyDescent="0.2">
      <c r="A151" s="193"/>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1"/>
      <c r="AR151" s="191"/>
      <c r="AS151" s="191"/>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x14ac:dyDescent="0.2">
      <c r="A152" s="193"/>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1"/>
      <c r="AR152" s="191"/>
      <c r="AS152" s="191"/>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x14ac:dyDescent="0.2">
      <c r="A153" s="193"/>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1"/>
      <c r="AR153" s="191"/>
      <c r="AS153" s="191"/>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x14ac:dyDescent="0.2">
      <c r="A154" s="193"/>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1"/>
      <c r="AR154" s="191"/>
      <c r="AS154" s="191"/>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x14ac:dyDescent="0.2">
      <c r="A155" s="193"/>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1"/>
      <c r="AR155" s="191"/>
      <c r="AS155" s="191"/>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x14ac:dyDescent="0.2">
      <c r="A156" s="193"/>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1"/>
      <c r="AR156" s="191"/>
      <c r="AS156" s="191"/>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c r="BS156" s="190"/>
    </row>
    <row r="157" spans="1:71" ht="12.75" x14ac:dyDescent="0.2">
      <c r="A157" s="193"/>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1"/>
      <c r="AR157" s="191"/>
      <c r="AS157" s="191"/>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c r="BS157" s="190"/>
    </row>
    <row r="158" spans="1:71" ht="12.75" x14ac:dyDescent="0.2">
      <c r="A158" s="193"/>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1"/>
      <c r="AR158" s="191"/>
      <c r="AS158" s="191"/>
      <c r="AT158" s="190"/>
      <c r="AU158" s="190"/>
      <c r="AV158" s="190"/>
      <c r="AW158" s="190"/>
      <c r="AX158" s="190"/>
      <c r="AY158" s="190"/>
      <c r="AZ158" s="190"/>
      <c r="BA158" s="190"/>
      <c r="BB158" s="190"/>
      <c r="BC158" s="190"/>
      <c r="BD158" s="190"/>
      <c r="BE158" s="190"/>
      <c r="BF158" s="190"/>
      <c r="BG158" s="190"/>
      <c r="BH158" s="190"/>
      <c r="BI158" s="190"/>
      <c r="BJ158" s="190"/>
      <c r="BK158" s="190"/>
      <c r="BL158" s="190"/>
      <c r="BM158" s="190"/>
      <c r="BN158" s="190"/>
      <c r="BO158" s="190"/>
      <c r="BP158" s="190"/>
      <c r="BQ158" s="190"/>
      <c r="BR158" s="190"/>
      <c r="BS158" s="190"/>
    </row>
    <row r="159" spans="1:71" ht="12.75" x14ac:dyDescent="0.2">
      <c r="A159" s="193"/>
      <c r="B159" s="190"/>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1"/>
      <c r="AR159" s="191"/>
      <c r="AS159" s="191"/>
      <c r="AT159" s="190"/>
      <c r="AU159" s="190"/>
      <c r="AV159" s="190"/>
      <c r="AW159" s="190"/>
      <c r="AX159" s="190"/>
      <c r="AY159" s="190"/>
      <c r="AZ159" s="190"/>
      <c r="BA159" s="190"/>
      <c r="BB159" s="190"/>
      <c r="BC159" s="190"/>
      <c r="BD159" s="190"/>
      <c r="BE159" s="190"/>
      <c r="BF159" s="190"/>
      <c r="BG159" s="190"/>
      <c r="BH159" s="190"/>
      <c r="BI159" s="190"/>
      <c r="BJ159" s="190"/>
      <c r="BK159" s="190"/>
      <c r="BL159" s="190"/>
      <c r="BM159" s="190"/>
      <c r="BN159" s="190"/>
      <c r="BO159" s="190"/>
      <c r="BP159" s="190"/>
      <c r="BQ159" s="190"/>
      <c r="BR159" s="190"/>
      <c r="BS159" s="190"/>
    </row>
    <row r="160" spans="1:71" ht="12.75" x14ac:dyDescent="0.2">
      <c r="A160" s="193"/>
      <c r="B160" s="190"/>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1"/>
      <c r="AR160" s="191"/>
      <c r="AS160" s="191"/>
      <c r="AT160" s="190"/>
      <c r="AU160" s="190"/>
      <c r="AV160" s="190"/>
      <c r="AW160" s="190"/>
      <c r="AX160" s="190"/>
      <c r="AY160" s="190"/>
      <c r="AZ160" s="190"/>
      <c r="BA160" s="190"/>
      <c r="BB160" s="190"/>
      <c r="BC160" s="190"/>
      <c r="BD160" s="190"/>
      <c r="BE160" s="190"/>
      <c r="BF160" s="190"/>
      <c r="BG160" s="190"/>
      <c r="BH160" s="190"/>
      <c r="BI160" s="190"/>
      <c r="BJ160" s="190"/>
      <c r="BK160" s="190"/>
      <c r="BL160" s="190"/>
      <c r="BM160" s="190"/>
      <c r="BN160" s="190"/>
      <c r="BO160" s="190"/>
      <c r="BP160" s="190"/>
      <c r="BQ160" s="190"/>
      <c r="BR160" s="190"/>
      <c r="BS160" s="190"/>
    </row>
    <row r="161" spans="1:71" ht="12.75" x14ac:dyDescent="0.2">
      <c r="A161" s="193"/>
      <c r="B161" s="190"/>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1"/>
      <c r="AR161" s="191"/>
      <c r="AS161" s="191"/>
      <c r="AT161" s="190"/>
      <c r="AU161" s="190"/>
      <c r="AV161" s="190"/>
      <c r="AW161" s="190"/>
      <c r="AX161" s="190"/>
      <c r="AY161" s="190"/>
      <c r="AZ161" s="190"/>
      <c r="BA161" s="190"/>
      <c r="BB161" s="190"/>
      <c r="BC161" s="190"/>
      <c r="BD161" s="190"/>
      <c r="BE161" s="190"/>
      <c r="BF161" s="190"/>
      <c r="BG161" s="190"/>
      <c r="BH161" s="190"/>
      <c r="BI161" s="190"/>
      <c r="BJ161" s="190"/>
      <c r="BK161" s="190"/>
      <c r="BL161" s="190"/>
      <c r="BM161" s="190"/>
      <c r="BN161" s="190"/>
      <c r="BO161" s="190"/>
      <c r="BP161" s="190"/>
      <c r="BQ161" s="190"/>
      <c r="BR161" s="190"/>
      <c r="BS161" s="190"/>
    </row>
    <row r="162" spans="1:71" ht="12.75" x14ac:dyDescent="0.2">
      <c r="A162" s="193"/>
      <c r="B162" s="190"/>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1"/>
      <c r="AR162" s="191"/>
      <c r="AS162" s="191"/>
      <c r="AT162" s="190"/>
      <c r="AU162" s="190"/>
      <c r="AV162" s="190"/>
      <c r="AW162" s="190"/>
      <c r="AX162" s="190"/>
      <c r="AY162" s="190"/>
      <c r="AZ162" s="190"/>
      <c r="BA162" s="190"/>
      <c r="BB162" s="190"/>
      <c r="BC162" s="190"/>
      <c r="BD162" s="190"/>
      <c r="BE162" s="190"/>
      <c r="BF162" s="190"/>
      <c r="BG162" s="190"/>
      <c r="BH162" s="190"/>
      <c r="BI162" s="190"/>
      <c r="BJ162" s="190"/>
      <c r="BK162" s="190"/>
      <c r="BL162" s="190"/>
      <c r="BM162" s="190"/>
      <c r="BN162" s="190"/>
      <c r="BO162" s="190"/>
      <c r="BP162" s="190"/>
      <c r="BQ162" s="190"/>
      <c r="BR162" s="190"/>
      <c r="BS162" s="190"/>
    </row>
    <row r="163" spans="1:71" ht="12.75" x14ac:dyDescent="0.2">
      <c r="A163" s="193"/>
      <c r="B163" s="190"/>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1"/>
      <c r="AR163" s="191"/>
      <c r="AS163" s="191"/>
      <c r="AT163" s="190"/>
      <c r="AU163" s="190"/>
      <c r="AV163" s="190"/>
      <c r="AW163" s="190"/>
      <c r="AX163" s="190"/>
      <c r="AY163" s="190"/>
      <c r="AZ163" s="190"/>
      <c r="BA163" s="190"/>
      <c r="BB163" s="190"/>
      <c r="BC163" s="190"/>
      <c r="BD163" s="190"/>
      <c r="BE163" s="190"/>
      <c r="BF163" s="190"/>
      <c r="BG163" s="190"/>
      <c r="BH163" s="190"/>
      <c r="BI163" s="190"/>
      <c r="BJ163" s="190"/>
      <c r="BK163" s="190"/>
      <c r="BL163" s="190"/>
      <c r="BM163" s="190"/>
      <c r="BN163" s="190"/>
      <c r="BO163" s="190"/>
      <c r="BP163" s="190"/>
      <c r="BQ163" s="190"/>
      <c r="BR163" s="190"/>
      <c r="BS163" s="190"/>
    </row>
    <row r="164" spans="1:71" ht="12.75" x14ac:dyDescent="0.2">
      <c r="A164" s="193"/>
      <c r="B164" s="190"/>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1"/>
      <c r="AR164" s="191"/>
      <c r="AS164" s="191"/>
      <c r="AT164" s="190"/>
      <c r="AU164" s="190"/>
      <c r="AV164" s="190"/>
      <c r="AW164" s="190"/>
      <c r="AX164" s="190"/>
      <c r="AY164" s="190"/>
      <c r="AZ164" s="190"/>
      <c r="BA164" s="190"/>
      <c r="BB164" s="190"/>
      <c r="BC164" s="190"/>
      <c r="BD164" s="190"/>
      <c r="BE164" s="190"/>
      <c r="BF164" s="190"/>
      <c r="BG164" s="190"/>
      <c r="BH164" s="190"/>
      <c r="BI164" s="190"/>
      <c r="BJ164" s="190"/>
      <c r="BK164" s="190"/>
      <c r="BL164" s="190"/>
      <c r="BM164" s="190"/>
      <c r="BN164" s="190"/>
      <c r="BO164" s="190"/>
      <c r="BP164" s="190"/>
      <c r="BQ164" s="190"/>
      <c r="BR164" s="190"/>
      <c r="BS164" s="190"/>
    </row>
    <row r="165" spans="1:71" ht="12.75" x14ac:dyDescent="0.2">
      <c r="A165" s="193"/>
      <c r="B165" s="190"/>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1"/>
      <c r="AR165" s="191"/>
      <c r="AS165" s="191"/>
      <c r="AT165" s="190"/>
      <c r="AU165" s="190"/>
      <c r="AV165" s="190"/>
      <c r="AW165" s="190"/>
      <c r="AX165" s="190"/>
      <c r="AY165" s="190"/>
      <c r="AZ165" s="190"/>
      <c r="BA165" s="190"/>
      <c r="BB165" s="190"/>
      <c r="BC165" s="190"/>
      <c r="BD165" s="190"/>
      <c r="BE165" s="190"/>
      <c r="BF165" s="190"/>
      <c r="BG165" s="190"/>
      <c r="BH165" s="190"/>
      <c r="BI165" s="190"/>
      <c r="BJ165" s="190"/>
      <c r="BK165" s="190"/>
      <c r="BL165" s="190"/>
      <c r="BM165" s="190"/>
      <c r="BN165" s="190"/>
      <c r="BO165" s="190"/>
      <c r="BP165" s="190"/>
      <c r="BQ165" s="190"/>
      <c r="BR165" s="190"/>
      <c r="BS165" s="190"/>
    </row>
    <row r="166" spans="1:71" ht="12.75" x14ac:dyDescent="0.2">
      <c r="A166" s="193"/>
      <c r="B166" s="190"/>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1"/>
      <c r="AR166" s="191"/>
      <c r="AS166" s="191"/>
      <c r="AT166" s="190"/>
      <c r="AU166" s="190"/>
      <c r="AV166" s="190"/>
      <c r="AW166" s="190"/>
      <c r="AX166" s="190"/>
      <c r="AY166" s="190"/>
      <c r="AZ166" s="190"/>
      <c r="BA166" s="190"/>
      <c r="BB166" s="190"/>
      <c r="BC166" s="190"/>
      <c r="BD166" s="190"/>
      <c r="BE166" s="190"/>
      <c r="BF166" s="190"/>
      <c r="BG166" s="190"/>
      <c r="BH166" s="190"/>
      <c r="BI166" s="190"/>
      <c r="BJ166" s="190"/>
      <c r="BK166" s="190"/>
      <c r="BL166" s="190"/>
      <c r="BM166" s="190"/>
      <c r="BN166" s="190"/>
      <c r="BO166" s="190"/>
      <c r="BP166" s="190"/>
      <c r="BQ166" s="190"/>
      <c r="BR166" s="190"/>
      <c r="BS166" s="190"/>
    </row>
    <row r="167" spans="1:71" ht="12.75" x14ac:dyDescent="0.2">
      <c r="A167" s="193"/>
      <c r="B167" s="190"/>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1"/>
      <c r="AR167" s="191"/>
      <c r="AS167" s="191"/>
      <c r="AT167" s="190"/>
      <c r="AU167" s="190"/>
      <c r="AV167" s="190"/>
      <c r="AW167" s="190"/>
      <c r="AX167" s="190"/>
      <c r="AY167" s="190"/>
      <c r="AZ167" s="190"/>
      <c r="BA167" s="190"/>
      <c r="BB167" s="190"/>
      <c r="BC167" s="190"/>
      <c r="BD167" s="190"/>
      <c r="BE167" s="190"/>
      <c r="BF167" s="190"/>
      <c r="BG167" s="190"/>
      <c r="BH167" s="190"/>
      <c r="BI167" s="190"/>
      <c r="BJ167" s="190"/>
      <c r="BK167" s="190"/>
      <c r="BL167" s="190"/>
      <c r="BM167" s="190"/>
      <c r="BN167" s="190"/>
      <c r="BO167" s="190"/>
      <c r="BP167" s="190"/>
      <c r="BQ167" s="190"/>
      <c r="BR167" s="190"/>
      <c r="BS167" s="190"/>
    </row>
    <row r="168" spans="1:71" ht="12.75" x14ac:dyDescent="0.2">
      <c r="A168" s="193"/>
      <c r="B168" s="190"/>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1"/>
      <c r="AR168" s="191"/>
      <c r="AS168" s="191"/>
      <c r="AT168" s="190"/>
      <c r="AU168" s="190"/>
      <c r="AV168" s="190"/>
      <c r="AW168" s="190"/>
      <c r="AX168" s="190"/>
      <c r="AY168" s="190"/>
      <c r="AZ168" s="190"/>
      <c r="BA168" s="190"/>
      <c r="BB168" s="190"/>
      <c r="BC168" s="190"/>
      <c r="BD168" s="190"/>
      <c r="BE168" s="190"/>
      <c r="BF168" s="190"/>
      <c r="BG168" s="190"/>
      <c r="BH168" s="190"/>
      <c r="BI168" s="190"/>
      <c r="BJ168" s="190"/>
      <c r="BK168" s="190"/>
      <c r="BL168" s="190"/>
      <c r="BM168" s="190"/>
      <c r="BN168" s="190"/>
      <c r="BO168" s="190"/>
      <c r="BP168" s="190"/>
      <c r="BQ168" s="190"/>
      <c r="BR168" s="190"/>
      <c r="BS168" s="190"/>
    </row>
    <row r="169" spans="1:71" ht="12.75" x14ac:dyDescent="0.2">
      <c r="A169" s="193"/>
      <c r="B169" s="190"/>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1"/>
      <c r="AR169" s="191"/>
      <c r="AS169" s="191"/>
      <c r="AT169" s="190"/>
      <c r="AU169" s="190"/>
      <c r="AV169" s="190"/>
      <c r="AW169" s="190"/>
      <c r="AX169" s="190"/>
      <c r="AY169" s="190"/>
      <c r="AZ169" s="190"/>
      <c r="BA169" s="190"/>
      <c r="BB169" s="190"/>
      <c r="BC169" s="190"/>
      <c r="BD169" s="190"/>
      <c r="BE169" s="190"/>
      <c r="BF169" s="190"/>
      <c r="BG169" s="190"/>
      <c r="BH169" s="190"/>
      <c r="BI169" s="190"/>
      <c r="BJ169" s="190"/>
      <c r="BK169" s="190"/>
      <c r="BL169" s="190"/>
      <c r="BM169" s="190"/>
      <c r="BN169" s="190"/>
      <c r="BO169" s="190"/>
      <c r="BP169" s="190"/>
      <c r="BQ169" s="190"/>
      <c r="BR169" s="190"/>
      <c r="BS169" s="190"/>
    </row>
    <row r="170" spans="1:71" ht="12.75" x14ac:dyDescent="0.2">
      <c r="A170" s="193"/>
      <c r="B170" s="190"/>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1"/>
      <c r="AR170" s="191"/>
      <c r="AS170" s="191"/>
      <c r="AT170" s="190"/>
      <c r="AU170" s="190"/>
      <c r="AV170" s="190"/>
      <c r="AW170" s="190"/>
      <c r="AX170" s="190"/>
      <c r="AY170" s="190"/>
      <c r="AZ170" s="190"/>
      <c r="BA170" s="190"/>
      <c r="BB170" s="190"/>
      <c r="BC170" s="190"/>
      <c r="BD170" s="190"/>
      <c r="BE170" s="190"/>
      <c r="BF170" s="190"/>
      <c r="BG170" s="190"/>
      <c r="BH170" s="190"/>
      <c r="BI170" s="190"/>
      <c r="BJ170" s="190"/>
      <c r="BK170" s="190"/>
      <c r="BL170" s="190"/>
      <c r="BM170" s="190"/>
      <c r="BN170" s="190"/>
      <c r="BO170" s="190"/>
      <c r="BP170" s="190"/>
      <c r="BQ170" s="190"/>
      <c r="BR170" s="190"/>
      <c r="BS170" s="190"/>
    </row>
    <row r="171" spans="1:71" ht="12.75" x14ac:dyDescent="0.2">
      <c r="A171" s="193"/>
      <c r="B171" s="190"/>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1"/>
      <c r="AR171" s="191"/>
      <c r="AS171" s="191"/>
      <c r="AT171" s="190"/>
      <c r="AU171" s="190"/>
      <c r="AV171" s="190"/>
      <c r="AW171" s="190"/>
      <c r="AX171" s="190"/>
      <c r="AY171" s="190"/>
      <c r="AZ171" s="190"/>
      <c r="BA171" s="190"/>
      <c r="BB171" s="190"/>
      <c r="BC171" s="190"/>
      <c r="BD171" s="190"/>
      <c r="BE171" s="190"/>
      <c r="BF171" s="190"/>
      <c r="BG171" s="190"/>
      <c r="BH171" s="190"/>
      <c r="BI171" s="190"/>
      <c r="BJ171" s="190"/>
      <c r="BK171" s="190"/>
      <c r="BL171" s="190"/>
      <c r="BM171" s="190"/>
      <c r="BN171" s="190"/>
      <c r="BO171" s="190"/>
      <c r="BP171" s="190"/>
      <c r="BQ171" s="190"/>
      <c r="BR171" s="190"/>
      <c r="BS171" s="190"/>
    </row>
    <row r="172" spans="1:71" ht="12.75" x14ac:dyDescent="0.2">
      <c r="A172" s="193"/>
      <c r="B172" s="190"/>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1"/>
      <c r="AR172" s="191"/>
      <c r="AS172" s="191"/>
      <c r="AT172" s="190"/>
      <c r="AU172" s="190"/>
      <c r="AV172" s="190"/>
      <c r="AW172" s="190"/>
      <c r="AX172" s="190"/>
      <c r="AY172" s="190"/>
      <c r="AZ172" s="190"/>
      <c r="BA172" s="190"/>
      <c r="BB172" s="190"/>
      <c r="BC172" s="190"/>
      <c r="BD172" s="190"/>
      <c r="BE172" s="190"/>
      <c r="BF172" s="190"/>
      <c r="BG172" s="190"/>
      <c r="BH172" s="190"/>
      <c r="BI172" s="190"/>
      <c r="BJ172" s="190"/>
      <c r="BK172" s="190"/>
      <c r="BL172" s="190"/>
      <c r="BM172" s="190"/>
      <c r="BN172" s="190"/>
      <c r="BO172" s="190"/>
      <c r="BP172" s="190"/>
      <c r="BQ172" s="190"/>
      <c r="BR172" s="190"/>
      <c r="BS172" s="190"/>
    </row>
    <row r="173" spans="1:71" ht="12.75" x14ac:dyDescent="0.2">
      <c r="A173" s="193"/>
      <c r="B173" s="190"/>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1"/>
      <c r="AR173" s="191"/>
      <c r="AS173" s="191"/>
      <c r="AT173" s="190"/>
      <c r="AU173" s="190"/>
      <c r="AV173" s="190"/>
      <c r="AW173" s="190"/>
      <c r="AX173" s="190"/>
      <c r="AY173" s="190"/>
      <c r="AZ173" s="190"/>
      <c r="BA173" s="190"/>
      <c r="BB173" s="190"/>
      <c r="BC173" s="190"/>
      <c r="BD173" s="190"/>
      <c r="BE173" s="190"/>
      <c r="BF173" s="190"/>
      <c r="BG173" s="190"/>
      <c r="BH173" s="190"/>
      <c r="BI173" s="190"/>
      <c r="BJ173" s="190"/>
      <c r="BK173" s="190"/>
      <c r="BL173" s="190"/>
      <c r="BM173" s="190"/>
      <c r="BN173" s="190"/>
      <c r="BO173" s="190"/>
      <c r="BP173" s="190"/>
      <c r="BQ173" s="190"/>
      <c r="BR173" s="190"/>
      <c r="BS173" s="190"/>
    </row>
    <row r="174" spans="1:71" ht="12.75" x14ac:dyDescent="0.2">
      <c r="A174" s="193"/>
      <c r="B174" s="190"/>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1"/>
      <c r="AR174" s="191"/>
      <c r="AS174" s="191"/>
      <c r="AT174" s="190"/>
      <c r="AU174" s="190"/>
      <c r="AV174" s="190"/>
      <c r="AW174" s="190"/>
      <c r="AX174" s="190"/>
      <c r="AY174" s="190"/>
      <c r="AZ174" s="190"/>
      <c r="BA174" s="190"/>
      <c r="BB174" s="190"/>
      <c r="BC174" s="190"/>
      <c r="BD174" s="190"/>
      <c r="BE174" s="190"/>
      <c r="BF174" s="190"/>
      <c r="BG174" s="190"/>
      <c r="BH174" s="190"/>
      <c r="BI174" s="190"/>
      <c r="BJ174" s="190"/>
      <c r="BK174" s="190"/>
      <c r="BL174" s="190"/>
      <c r="BM174" s="190"/>
      <c r="BN174" s="190"/>
      <c r="BO174" s="190"/>
      <c r="BP174" s="190"/>
      <c r="BQ174" s="190"/>
      <c r="BR174" s="190"/>
      <c r="BS174" s="190"/>
    </row>
    <row r="175" spans="1:71" ht="12.75" x14ac:dyDescent="0.2">
      <c r="A175" s="193"/>
      <c r="B175" s="190"/>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1"/>
      <c r="AR175" s="191"/>
      <c r="AS175" s="191"/>
      <c r="AT175" s="190"/>
      <c r="AU175" s="190"/>
      <c r="AV175" s="190"/>
      <c r="AW175" s="190"/>
      <c r="AX175" s="190"/>
      <c r="AY175" s="190"/>
      <c r="AZ175" s="190"/>
      <c r="BA175" s="190"/>
      <c r="BB175" s="190"/>
      <c r="BC175" s="190"/>
      <c r="BD175" s="190"/>
      <c r="BE175" s="190"/>
      <c r="BF175" s="190"/>
      <c r="BG175" s="190"/>
      <c r="BH175" s="190"/>
      <c r="BI175" s="190"/>
      <c r="BJ175" s="190"/>
      <c r="BK175" s="190"/>
      <c r="BL175" s="190"/>
      <c r="BM175" s="190"/>
      <c r="BN175" s="190"/>
      <c r="BO175" s="190"/>
      <c r="BP175" s="190"/>
      <c r="BQ175" s="190"/>
      <c r="BR175" s="190"/>
      <c r="BS175" s="190"/>
    </row>
    <row r="176" spans="1:71" ht="12.75" x14ac:dyDescent="0.2">
      <c r="A176" s="193"/>
      <c r="B176" s="190"/>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1"/>
      <c r="AR176" s="191"/>
      <c r="AS176" s="191"/>
      <c r="AT176" s="190"/>
      <c r="AU176" s="190"/>
      <c r="AV176" s="190"/>
      <c r="AW176" s="190"/>
      <c r="AX176" s="190"/>
      <c r="AY176" s="190"/>
      <c r="AZ176" s="190"/>
      <c r="BA176" s="190"/>
      <c r="BB176" s="190"/>
      <c r="BC176" s="190"/>
      <c r="BD176" s="190"/>
      <c r="BE176" s="190"/>
      <c r="BF176" s="190"/>
      <c r="BG176" s="190"/>
      <c r="BH176" s="190"/>
      <c r="BI176" s="190"/>
      <c r="BJ176" s="190"/>
      <c r="BK176" s="190"/>
      <c r="BL176" s="190"/>
      <c r="BM176" s="190"/>
      <c r="BN176" s="190"/>
      <c r="BO176" s="190"/>
      <c r="BP176" s="190"/>
      <c r="BQ176" s="190"/>
      <c r="BR176" s="190"/>
      <c r="BS176" s="190"/>
    </row>
    <row r="177" spans="1:71" ht="12.75" x14ac:dyDescent="0.2">
      <c r="A177" s="193"/>
      <c r="B177" s="190"/>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1"/>
      <c r="AR177" s="191"/>
      <c r="AS177" s="191"/>
      <c r="AT177" s="190"/>
      <c r="AU177" s="190"/>
      <c r="AV177" s="190"/>
      <c r="AW177" s="190"/>
      <c r="AX177" s="190"/>
      <c r="AY177" s="190"/>
      <c r="AZ177" s="190"/>
      <c r="BA177" s="190"/>
      <c r="BB177" s="190"/>
      <c r="BC177" s="190"/>
      <c r="BD177" s="190"/>
      <c r="BE177" s="190"/>
      <c r="BF177" s="190"/>
      <c r="BG177" s="190"/>
      <c r="BH177" s="190"/>
      <c r="BI177" s="190"/>
      <c r="BJ177" s="190"/>
      <c r="BK177" s="190"/>
      <c r="BL177" s="190"/>
      <c r="BM177" s="190"/>
      <c r="BN177" s="190"/>
      <c r="BO177" s="190"/>
      <c r="BP177" s="190"/>
      <c r="BQ177" s="190"/>
      <c r="BR177" s="190"/>
      <c r="BS177" s="190"/>
    </row>
    <row r="178" spans="1:71" ht="12.75" x14ac:dyDescent="0.2">
      <c r="A178" s="193"/>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1"/>
      <c r="AR178" s="191"/>
      <c r="AS178" s="191"/>
      <c r="AT178" s="190"/>
      <c r="AU178" s="190"/>
      <c r="AV178" s="190"/>
      <c r="AW178" s="190"/>
      <c r="AX178" s="190"/>
      <c r="AY178" s="190"/>
      <c r="AZ178" s="190"/>
      <c r="BA178" s="190"/>
      <c r="BB178" s="190"/>
      <c r="BC178" s="190"/>
      <c r="BD178" s="190"/>
      <c r="BE178" s="190"/>
      <c r="BF178" s="190"/>
      <c r="BG178" s="190"/>
      <c r="BH178" s="190"/>
      <c r="BI178" s="190"/>
      <c r="BJ178" s="190"/>
      <c r="BK178" s="190"/>
      <c r="BL178" s="190"/>
      <c r="BM178" s="190"/>
      <c r="BN178" s="190"/>
      <c r="BO178" s="190"/>
      <c r="BP178" s="190"/>
      <c r="BQ178" s="190"/>
      <c r="BR178" s="190"/>
      <c r="BS178" s="190"/>
    </row>
    <row r="179" spans="1:71" ht="12.75" x14ac:dyDescent="0.2">
      <c r="A179" s="193"/>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1"/>
      <c r="AR179" s="191"/>
      <c r="AS179" s="191"/>
      <c r="AT179" s="190"/>
      <c r="AU179" s="190"/>
      <c r="AV179" s="190"/>
      <c r="AW179" s="190"/>
      <c r="AX179" s="190"/>
      <c r="AY179" s="190"/>
      <c r="AZ179" s="190"/>
      <c r="BA179" s="190"/>
      <c r="BB179" s="190"/>
      <c r="BC179" s="190"/>
      <c r="BD179" s="190"/>
      <c r="BE179" s="190"/>
      <c r="BF179" s="190"/>
      <c r="BG179" s="190"/>
      <c r="BH179" s="190"/>
      <c r="BI179" s="190"/>
      <c r="BJ179" s="190"/>
      <c r="BK179" s="190"/>
      <c r="BL179" s="190"/>
      <c r="BM179" s="190"/>
      <c r="BN179" s="190"/>
      <c r="BO179" s="190"/>
      <c r="BP179" s="190"/>
      <c r="BQ179" s="190"/>
      <c r="BR179" s="190"/>
      <c r="BS179" s="190"/>
    </row>
    <row r="180" spans="1:71" ht="12.75" x14ac:dyDescent="0.2">
      <c r="A180" s="193"/>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1"/>
      <c r="AR180" s="191"/>
      <c r="AS180" s="191"/>
      <c r="AT180" s="190"/>
      <c r="AU180" s="190"/>
      <c r="AV180" s="190"/>
      <c r="AW180" s="190"/>
      <c r="AX180" s="190"/>
      <c r="AY180" s="190"/>
      <c r="AZ180" s="190"/>
      <c r="BA180" s="190"/>
      <c r="BB180" s="190"/>
      <c r="BC180" s="190"/>
      <c r="BD180" s="190"/>
      <c r="BE180" s="190"/>
      <c r="BF180" s="190"/>
      <c r="BG180" s="190"/>
      <c r="BH180" s="190"/>
      <c r="BI180" s="190"/>
      <c r="BJ180" s="190"/>
      <c r="BK180" s="190"/>
      <c r="BL180" s="190"/>
      <c r="BM180" s="190"/>
      <c r="BN180" s="190"/>
      <c r="BO180" s="190"/>
      <c r="BP180" s="190"/>
      <c r="BQ180" s="190"/>
      <c r="BR180" s="190"/>
      <c r="BS180" s="190"/>
    </row>
    <row r="181" spans="1:71" ht="12.75" x14ac:dyDescent="0.2">
      <c r="A181" s="193"/>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1"/>
      <c r="AR181" s="191"/>
      <c r="AS181" s="191"/>
      <c r="AT181" s="190"/>
      <c r="AU181" s="190"/>
      <c r="AV181" s="190"/>
      <c r="AW181" s="190"/>
      <c r="AX181" s="190"/>
      <c r="AY181" s="190"/>
      <c r="AZ181" s="190"/>
      <c r="BA181" s="190"/>
      <c r="BB181" s="190"/>
      <c r="BC181" s="190"/>
      <c r="BD181" s="190"/>
      <c r="BE181" s="190"/>
      <c r="BF181" s="190"/>
      <c r="BG181" s="190"/>
      <c r="BH181" s="190"/>
      <c r="BI181" s="190"/>
      <c r="BJ181" s="190"/>
      <c r="BK181" s="190"/>
      <c r="BL181" s="190"/>
      <c r="BM181" s="190"/>
      <c r="BN181" s="190"/>
      <c r="BO181" s="190"/>
      <c r="BP181" s="190"/>
      <c r="BQ181" s="190"/>
      <c r="BR181" s="190"/>
      <c r="BS181" s="190"/>
    </row>
    <row r="182" spans="1:71" ht="12.75" x14ac:dyDescent="0.2">
      <c r="A182" s="193"/>
      <c r="B182" s="190"/>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1"/>
      <c r="AR182" s="191"/>
      <c r="AS182" s="191"/>
      <c r="AT182" s="190"/>
      <c r="AU182" s="190"/>
      <c r="AV182" s="190"/>
      <c r="AW182" s="190"/>
      <c r="AX182" s="190"/>
      <c r="AY182" s="190"/>
      <c r="AZ182" s="190"/>
      <c r="BA182" s="190"/>
      <c r="BB182" s="190"/>
      <c r="BC182" s="190"/>
      <c r="BD182" s="190"/>
      <c r="BE182" s="190"/>
      <c r="BF182" s="190"/>
      <c r="BG182" s="190"/>
      <c r="BH182" s="190"/>
      <c r="BI182" s="190"/>
      <c r="BJ182" s="190"/>
      <c r="BK182" s="190"/>
      <c r="BL182" s="190"/>
      <c r="BM182" s="190"/>
      <c r="BN182" s="190"/>
      <c r="BO182" s="190"/>
      <c r="BP182" s="190"/>
      <c r="BQ182" s="190"/>
      <c r="BR182" s="190"/>
      <c r="BS182" s="190"/>
    </row>
    <row r="183" spans="1:71" ht="12.75" x14ac:dyDescent="0.2">
      <c r="A183" s="193"/>
      <c r="B183" s="190"/>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1"/>
      <c r="AR183" s="191"/>
      <c r="AS183" s="191"/>
      <c r="AT183" s="190"/>
      <c r="AU183" s="190"/>
      <c r="AV183" s="190"/>
      <c r="AW183" s="190"/>
      <c r="AX183" s="190"/>
      <c r="AY183" s="190"/>
      <c r="AZ183" s="190"/>
      <c r="BA183" s="190"/>
      <c r="BB183" s="190"/>
      <c r="BC183" s="190"/>
      <c r="BD183" s="190"/>
      <c r="BE183" s="190"/>
      <c r="BF183" s="190"/>
      <c r="BG183" s="190"/>
      <c r="BH183" s="190"/>
      <c r="BI183" s="190"/>
      <c r="BJ183" s="190"/>
      <c r="BK183" s="190"/>
      <c r="BL183" s="190"/>
      <c r="BM183" s="190"/>
      <c r="BN183" s="190"/>
      <c r="BO183" s="190"/>
      <c r="BP183" s="190"/>
      <c r="BQ183" s="190"/>
      <c r="BR183" s="190"/>
      <c r="BS183" s="190"/>
    </row>
    <row r="184" spans="1:71" ht="12.75" x14ac:dyDescent="0.2">
      <c r="A184" s="193"/>
      <c r="B184" s="190"/>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1"/>
      <c r="AR184" s="191"/>
      <c r="AS184" s="191"/>
      <c r="AT184" s="190"/>
      <c r="AU184" s="190"/>
      <c r="AV184" s="190"/>
      <c r="AW184" s="190"/>
      <c r="AX184" s="190"/>
      <c r="AY184" s="190"/>
      <c r="AZ184" s="190"/>
      <c r="BA184" s="190"/>
      <c r="BB184" s="190"/>
      <c r="BC184" s="190"/>
      <c r="BD184" s="190"/>
      <c r="BE184" s="190"/>
      <c r="BF184" s="190"/>
      <c r="BG184" s="190"/>
      <c r="BH184" s="190"/>
      <c r="BI184" s="190"/>
      <c r="BJ184" s="190"/>
      <c r="BK184" s="190"/>
      <c r="BL184" s="190"/>
      <c r="BM184" s="190"/>
      <c r="BN184" s="190"/>
      <c r="BO184" s="190"/>
      <c r="BP184" s="190"/>
      <c r="BQ184" s="190"/>
      <c r="BR184" s="190"/>
      <c r="BS184" s="190"/>
    </row>
    <row r="185" spans="1:71" ht="12.75" x14ac:dyDescent="0.2">
      <c r="A185" s="193"/>
      <c r="B185" s="190"/>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1"/>
      <c r="AR185" s="191"/>
      <c r="AS185" s="191"/>
      <c r="AT185" s="190"/>
      <c r="AU185" s="190"/>
      <c r="AV185" s="190"/>
      <c r="AW185" s="190"/>
      <c r="AX185" s="190"/>
      <c r="AY185" s="190"/>
      <c r="AZ185" s="190"/>
      <c r="BA185" s="190"/>
      <c r="BB185" s="190"/>
      <c r="BC185" s="190"/>
      <c r="BD185" s="190"/>
      <c r="BE185" s="190"/>
      <c r="BF185" s="190"/>
      <c r="BG185" s="190"/>
      <c r="BH185" s="190"/>
      <c r="BI185" s="190"/>
      <c r="BJ185" s="190"/>
      <c r="BK185" s="190"/>
      <c r="BL185" s="190"/>
      <c r="BM185" s="190"/>
      <c r="BN185" s="190"/>
      <c r="BO185" s="190"/>
      <c r="BP185" s="190"/>
      <c r="BQ185" s="190"/>
      <c r="BR185" s="190"/>
      <c r="BS185" s="190"/>
    </row>
    <row r="186" spans="1:71" ht="12.75" x14ac:dyDescent="0.2">
      <c r="A186" s="193"/>
      <c r="B186" s="190"/>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1"/>
      <c r="AR186" s="191"/>
      <c r="AS186" s="191"/>
      <c r="AT186" s="190"/>
      <c r="AU186" s="190"/>
      <c r="AV186" s="190"/>
      <c r="AW186" s="190"/>
      <c r="AX186" s="190"/>
      <c r="AY186" s="190"/>
      <c r="AZ186" s="190"/>
      <c r="BA186" s="190"/>
      <c r="BB186" s="190"/>
      <c r="BC186" s="190"/>
      <c r="BD186" s="190"/>
      <c r="BE186" s="190"/>
      <c r="BF186" s="190"/>
      <c r="BG186" s="190"/>
      <c r="BH186" s="190"/>
      <c r="BI186" s="190"/>
      <c r="BJ186" s="190"/>
      <c r="BK186" s="190"/>
      <c r="BL186" s="190"/>
      <c r="BM186" s="190"/>
      <c r="BN186" s="190"/>
      <c r="BO186" s="190"/>
      <c r="BP186" s="190"/>
      <c r="BQ186" s="190"/>
      <c r="BR186" s="190"/>
      <c r="BS186" s="190"/>
    </row>
    <row r="187" spans="1:71" ht="12.75" x14ac:dyDescent="0.2">
      <c r="A187" s="193"/>
      <c r="B187" s="190"/>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1"/>
      <c r="AR187" s="191"/>
      <c r="AS187" s="191"/>
      <c r="AT187" s="190"/>
      <c r="AU187" s="190"/>
      <c r="AV187" s="190"/>
      <c r="AW187" s="190"/>
      <c r="AX187" s="190"/>
      <c r="AY187" s="190"/>
      <c r="AZ187" s="190"/>
      <c r="BA187" s="190"/>
      <c r="BB187" s="190"/>
      <c r="BC187" s="190"/>
      <c r="BD187" s="190"/>
      <c r="BE187" s="190"/>
      <c r="BF187" s="190"/>
      <c r="BG187" s="190"/>
      <c r="BH187" s="190"/>
      <c r="BI187" s="190"/>
      <c r="BJ187" s="190"/>
      <c r="BK187" s="190"/>
      <c r="BL187" s="190"/>
      <c r="BM187" s="190"/>
      <c r="BN187" s="190"/>
      <c r="BO187" s="190"/>
      <c r="BP187" s="190"/>
      <c r="BQ187" s="190"/>
      <c r="BR187" s="190"/>
      <c r="BS187" s="190"/>
    </row>
    <row r="188" spans="1:71" ht="12.75" x14ac:dyDescent="0.2">
      <c r="A188" s="193"/>
      <c r="B188" s="190"/>
      <c r="C188" s="190"/>
      <c r="D188" s="190"/>
      <c r="E188" s="190"/>
      <c r="F188" s="190"/>
      <c r="G188" s="190"/>
      <c r="H188" s="190"/>
      <c r="I188" s="190"/>
      <c r="J188" s="190"/>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1"/>
      <c r="AR188" s="191"/>
      <c r="AS188" s="191"/>
      <c r="AT188" s="190"/>
      <c r="AU188" s="190"/>
      <c r="AV188" s="190"/>
      <c r="AW188" s="190"/>
      <c r="AX188" s="190"/>
      <c r="AY188" s="190"/>
      <c r="AZ188" s="190"/>
      <c r="BA188" s="190"/>
      <c r="BB188" s="190"/>
      <c r="BC188" s="190"/>
      <c r="BD188" s="190"/>
      <c r="BE188" s="190"/>
      <c r="BF188" s="190"/>
      <c r="BG188" s="190"/>
      <c r="BH188" s="190"/>
      <c r="BI188" s="190"/>
      <c r="BJ188" s="190"/>
      <c r="BK188" s="190"/>
      <c r="BL188" s="190"/>
      <c r="BM188" s="190"/>
      <c r="BN188" s="190"/>
      <c r="BO188" s="190"/>
      <c r="BP188" s="190"/>
      <c r="BQ188" s="190"/>
      <c r="BR188" s="190"/>
      <c r="BS188" s="190"/>
    </row>
    <row r="189" spans="1:71" ht="12.75" x14ac:dyDescent="0.2">
      <c r="A189" s="193"/>
      <c r="B189" s="190"/>
      <c r="C189" s="190"/>
      <c r="D189" s="190"/>
      <c r="E189" s="190"/>
      <c r="F189" s="190"/>
      <c r="G189" s="190"/>
      <c r="H189" s="190"/>
      <c r="I189" s="190"/>
      <c r="J189" s="190"/>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1"/>
      <c r="AR189" s="191"/>
      <c r="AS189" s="191"/>
      <c r="AT189" s="190"/>
      <c r="AU189" s="190"/>
      <c r="AV189" s="190"/>
      <c r="AW189" s="190"/>
      <c r="AX189" s="190"/>
      <c r="AY189" s="190"/>
      <c r="AZ189" s="190"/>
      <c r="BA189" s="190"/>
      <c r="BB189" s="190"/>
      <c r="BC189" s="190"/>
      <c r="BD189" s="190"/>
      <c r="BE189" s="190"/>
      <c r="BF189" s="190"/>
      <c r="BG189" s="190"/>
      <c r="BH189" s="190"/>
      <c r="BI189" s="190"/>
      <c r="BJ189" s="190"/>
      <c r="BK189" s="190"/>
      <c r="BL189" s="190"/>
      <c r="BM189" s="190"/>
      <c r="BN189" s="190"/>
      <c r="BO189" s="190"/>
      <c r="BP189" s="190"/>
      <c r="BQ189" s="190"/>
      <c r="BR189" s="190"/>
      <c r="BS189" s="190"/>
    </row>
    <row r="190" spans="1:71" ht="12.75" x14ac:dyDescent="0.2">
      <c r="A190" s="193"/>
      <c r="B190" s="190"/>
      <c r="C190" s="190"/>
      <c r="D190" s="190"/>
      <c r="E190" s="190"/>
      <c r="F190" s="190"/>
      <c r="G190" s="190"/>
      <c r="H190" s="190"/>
      <c r="I190" s="190"/>
      <c r="J190" s="190"/>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1"/>
      <c r="AR190" s="191"/>
      <c r="AS190" s="191"/>
      <c r="AT190" s="190"/>
      <c r="AU190" s="190"/>
      <c r="AV190" s="190"/>
      <c r="AW190" s="190"/>
      <c r="AX190" s="190"/>
      <c r="AY190" s="190"/>
      <c r="AZ190" s="190"/>
      <c r="BA190" s="190"/>
      <c r="BB190" s="190"/>
      <c r="BC190" s="190"/>
      <c r="BD190" s="190"/>
      <c r="BE190" s="190"/>
      <c r="BF190" s="190"/>
      <c r="BG190" s="190"/>
      <c r="BH190" s="190"/>
      <c r="BI190" s="190"/>
      <c r="BJ190" s="190"/>
      <c r="BK190" s="190"/>
      <c r="BL190" s="190"/>
      <c r="BM190" s="190"/>
      <c r="BN190" s="190"/>
      <c r="BO190" s="190"/>
      <c r="BP190" s="190"/>
      <c r="BQ190" s="190"/>
      <c r="BR190" s="190"/>
      <c r="BS190" s="190"/>
    </row>
    <row r="191" spans="1:71" ht="12.75" x14ac:dyDescent="0.2">
      <c r="A191" s="193"/>
      <c r="B191" s="190"/>
      <c r="C191" s="190"/>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1"/>
      <c r="AR191" s="191"/>
      <c r="AS191" s="191"/>
      <c r="AT191" s="190"/>
      <c r="AU191" s="190"/>
      <c r="AV191" s="190"/>
      <c r="AW191" s="190"/>
      <c r="AX191" s="190"/>
      <c r="AY191" s="190"/>
      <c r="AZ191" s="190"/>
      <c r="BA191" s="190"/>
      <c r="BB191" s="190"/>
      <c r="BC191" s="190"/>
      <c r="BD191" s="190"/>
      <c r="BE191" s="190"/>
      <c r="BF191" s="190"/>
      <c r="BG191" s="190"/>
      <c r="BH191" s="190"/>
      <c r="BI191" s="190"/>
      <c r="BJ191" s="190"/>
      <c r="BK191" s="190"/>
      <c r="BL191" s="190"/>
      <c r="BM191" s="190"/>
      <c r="BN191" s="190"/>
      <c r="BO191" s="190"/>
      <c r="BP191" s="190"/>
      <c r="BQ191" s="190"/>
      <c r="BR191" s="190"/>
      <c r="BS191" s="190"/>
    </row>
    <row r="192" spans="1:71" ht="12.75" x14ac:dyDescent="0.2">
      <c r="A192" s="193"/>
      <c r="B192" s="190"/>
      <c r="C192" s="190"/>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1"/>
      <c r="AR192" s="191"/>
      <c r="AS192" s="191"/>
      <c r="AT192" s="190"/>
      <c r="AU192" s="190"/>
      <c r="AV192" s="190"/>
      <c r="AW192" s="190"/>
      <c r="AX192" s="190"/>
      <c r="AY192" s="190"/>
      <c r="AZ192" s="190"/>
      <c r="BA192" s="190"/>
      <c r="BB192" s="190"/>
      <c r="BC192" s="190"/>
      <c r="BD192" s="190"/>
      <c r="BE192" s="190"/>
      <c r="BF192" s="190"/>
      <c r="BG192" s="190"/>
      <c r="BH192" s="190"/>
      <c r="BI192" s="190"/>
      <c r="BJ192" s="190"/>
      <c r="BK192" s="190"/>
      <c r="BL192" s="190"/>
      <c r="BM192" s="190"/>
      <c r="BN192" s="190"/>
      <c r="BO192" s="190"/>
      <c r="BP192" s="190"/>
      <c r="BQ192" s="190"/>
      <c r="BR192" s="190"/>
      <c r="BS192" s="190"/>
    </row>
    <row r="193" spans="1:71" ht="12.75" x14ac:dyDescent="0.2">
      <c r="A193" s="193"/>
      <c r="B193" s="190"/>
      <c r="C193" s="190"/>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1"/>
      <c r="AR193" s="191"/>
      <c r="AS193" s="191"/>
      <c r="AT193" s="190"/>
      <c r="AU193" s="190"/>
      <c r="AV193" s="190"/>
      <c r="AW193" s="190"/>
      <c r="AX193" s="190"/>
      <c r="AY193" s="190"/>
      <c r="AZ193" s="190"/>
      <c r="BA193" s="190"/>
      <c r="BB193" s="190"/>
      <c r="BC193" s="190"/>
      <c r="BD193" s="190"/>
      <c r="BE193" s="190"/>
      <c r="BF193" s="190"/>
      <c r="BG193" s="190"/>
      <c r="BH193" s="190"/>
      <c r="BI193" s="190"/>
      <c r="BJ193" s="190"/>
      <c r="BK193" s="190"/>
      <c r="BL193" s="190"/>
      <c r="BM193" s="190"/>
      <c r="BN193" s="190"/>
      <c r="BO193" s="190"/>
      <c r="BP193" s="190"/>
      <c r="BQ193" s="190"/>
      <c r="BR193" s="190"/>
      <c r="BS193" s="190"/>
    </row>
    <row r="194" spans="1:71" ht="12.75" x14ac:dyDescent="0.2">
      <c r="A194" s="193"/>
      <c r="B194" s="190"/>
      <c r="C194" s="190"/>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1"/>
      <c r="AR194" s="191"/>
      <c r="AS194" s="191"/>
      <c r="AT194" s="190"/>
      <c r="AU194" s="190"/>
      <c r="AV194" s="190"/>
      <c r="AW194" s="190"/>
      <c r="AX194" s="190"/>
      <c r="AY194" s="190"/>
      <c r="AZ194" s="190"/>
      <c r="BA194" s="190"/>
      <c r="BB194" s="190"/>
      <c r="BC194" s="190"/>
      <c r="BD194" s="190"/>
      <c r="BE194" s="190"/>
      <c r="BF194" s="190"/>
      <c r="BG194" s="190"/>
      <c r="BH194" s="190"/>
      <c r="BI194" s="190"/>
      <c r="BJ194" s="190"/>
      <c r="BK194" s="190"/>
      <c r="BL194" s="190"/>
      <c r="BM194" s="190"/>
      <c r="BN194" s="190"/>
      <c r="BO194" s="190"/>
      <c r="BP194" s="190"/>
      <c r="BQ194" s="190"/>
      <c r="BR194" s="190"/>
      <c r="BS194" s="190"/>
    </row>
    <row r="195" spans="1:71" ht="12.75" x14ac:dyDescent="0.2">
      <c r="A195" s="193"/>
      <c r="B195" s="190"/>
      <c r="C195" s="190"/>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1"/>
      <c r="AR195" s="191"/>
      <c r="AS195" s="191"/>
      <c r="AT195" s="190"/>
      <c r="AU195" s="190"/>
      <c r="AV195" s="190"/>
      <c r="AW195" s="190"/>
      <c r="AX195" s="190"/>
      <c r="AY195" s="190"/>
      <c r="AZ195" s="190"/>
      <c r="BA195" s="190"/>
      <c r="BB195" s="190"/>
      <c r="BC195" s="190"/>
      <c r="BD195" s="190"/>
      <c r="BE195" s="190"/>
      <c r="BF195" s="190"/>
      <c r="BG195" s="190"/>
      <c r="BH195" s="190"/>
      <c r="BI195" s="190"/>
      <c r="BJ195" s="190"/>
      <c r="BK195" s="190"/>
      <c r="BL195" s="190"/>
      <c r="BM195" s="190"/>
      <c r="BN195" s="190"/>
      <c r="BO195" s="190"/>
      <c r="BP195" s="190"/>
      <c r="BQ195" s="190"/>
      <c r="BR195" s="190"/>
      <c r="BS195" s="190"/>
    </row>
    <row r="196" spans="1:71" ht="12.75" x14ac:dyDescent="0.2">
      <c r="A196" s="193"/>
      <c r="B196" s="190"/>
      <c r="C196" s="190"/>
      <c r="D196" s="190"/>
      <c r="E196" s="190"/>
      <c r="F196" s="190"/>
      <c r="G196" s="190"/>
      <c r="H196" s="190"/>
      <c r="I196" s="190"/>
      <c r="J196" s="190"/>
      <c r="K196" s="190"/>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1"/>
      <c r="AR196" s="191"/>
      <c r="AS196" s="191"/>
      <c r="AT196" s="190"/>
      <c r="AU196" s="190"/>
      <c r="AV196" s="190"/>
      <c r="AW196" s="190"/>
      <c r="AX196" s="190"/>
      <c r="AY196" s="190"/>
      <c r="AZ196" s="190"/>
      <c r="BA196" s="190"/>
      <c r="BB196" s="190"/>
      <c r="BC196" s="190"/>
      <c r="BD196" s="190"/>
      <c r="BE196" s="190"/>
      <c r="BF196" s="190"/>
      <c r="BG196" s="190"/>
      <c r="BH196" s="190"/>
      <c r="BI196" s="190"/>
      <c r="BJ196" s="190"/>
      <c r="BK196" s="190"/>
      <c r="BL196" s="190"/>
      <c r="BM196" s="190"/>
      <c r="BN196" s="190"/>
      <c r="BO196" s="190"/>
      <c r="BP196" s="190"/>
      <c r="BQ196" s="190"/>
      <c r="BR196" s="190"/>
      <c r="BS196" s="190"/>
    </row>
    <row r="197" spans="1:71" ht="12.75" x14ac:dyDescent="0.2">
      <c r="A197" s="193"/>
      <c r="B197" s="190"/>
      <c r="C197" s="190"/>
      <c r="D197" s="190"/>
      <c r="E197" s="190"/>
      <c r="F197" s="190"/>
      <c r="G197" s="190"/>
      <c r="H197" s="190"/>
      <c r="I197" s="190"/>
      <c r="J197" s="190"/>
      <c r="K197" s="190"/>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1"/>
      <c r="AR197" s="191"/>
      <c r="AS197" s="191"/>
      <c r="AT197" s="190"/>
      <c r="AU197" s="190"/>
      <c r="AV197" s="190"/>
      <c r="AW197" s="190"/>
      <c r="AX197" s="190"/>
      <c r="AY197" s="190"/>
      <c r="AZ197" s="190"/>
      <c r="BA197" s="190"/>
      <c r="BB197" s="190"/>
      <c r="BC197" s="190"/>
      <c r="BD197" s="190"/>
      <c r="BE197" s="190"/>
      <c r="BF197" s="190"/>
      <c r="BG197" s="190"/>
      <c r="BH197" s="190"/>
      <c r="BI197" s="190"/>
      <c r="BJ197" s="190"/>
      <c r="BK197" s="190"/>
      <c r="BL197" s="190"/>
      <c r="BM197" s="190"/>
      <c r="BN197" s="190"/>
      <c r="BO197" s="190"/>
      <c r="BP197" s="190"/>
      <c r="BQ197" s="190"/>
      <c r="BR197" s="190"/>
      <c r="BS197" s="190"/>
    </row>
  </sheetData>
  <mergeCells count="20">
    <mergeCell ref="A13:H13"/>
    <mergeCell ref="A5:H5"/>
    <mergeCell ref="A7:H7"/>
    <mergeCell ref="A9:H9"/>
    <mergeCell ref="A10:H10"/>
    <mergeCell ref="A12:H12"/>
    <mergeCell ref="B111:C111"/>
    <mergeCell ref="D111:E111"/>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7" zoomScale="70" zoomScaleSheetLayoutView="70" workbookViewId="0">
      <selection activeCell="I37" sqref="I37:J37"/>
    </sheetView>
  </sheetViews>
  <sheetFormatPr defaultRowHeight="15.75" x14ac:dyDescent="0.25"/>
  <cols>
    <col min="1" max="1" width="9.140625" style="50"/>
    <col min="2" max="2" width="37.7109375" style="50" customWidth="1"/>
    <col min="3" max="6" width="18.42578125" style="50" customWidth="1"/>
    <col min="7" max="8" width="18.4257812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2" t="s">
        <v>65</v>
      </c>
    </row>
    <row r="2" spans="1:44" ht="18.75" x14ac:dyDescent="0.3">
      <c r="L2" s="14" t="s">
        <v>7</v>
      </c>
    </row>
    <row r="3" spans="1:44" ht="18.75" x14ac:dyDescent="0.3">
      <c r="L3" s="14" t="s">
        <v>64</v>
      </c>
    </row>
    <row r="4" spans="1:44" ht="18.75" x14ac:dyDescent="0.3">
      <c r="K4" s="14"/>
    </row>
    <row r="5" spans="1:44" x14ac:dyDescent="0.25">
      <c r="A5" s="420" t="str">
        <f>'2. паспорт  ТП'!A4:S4</f>
        <v>Год раскрытия информации: 2025 год</v>
      </c>
      <c r="B5" s="420"/>
      <c r="C5" s="420"/>
      <c r="D5" s="420"/>
      <c r="E5" s="420"/>
      <c r="F5" s="420"/>
      <c r="G5" s="420"/>
      <c r="H5" s="420"/>
      <c r="I5" s="420"/>
      <c r="J5" s="420"/>
      <c r="K5" s="420"/>
      <c r="L5" s="42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4"/>
    </row>
    <row r="7" spans="1:44" ht="18.75" x14ac:dyDescent="0.25">
      <c r="A7" s="429" t="s">
        <v>6</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row>
    <row r="10" spans="1:44" x14ac:dyDescent="0.25">
      <c r="A10" s="434" t="s">
        <v>5</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430" t="str">
        <f>'1. паспорт местоположение'!A12:C12</f>
        <v>N_18-0871</v>
      </c>
      <c r="B12" s="430"/>
      <c r="C12" s="430"/>
      <c r="D12" s="430"/>
      <c r="E12" s="430"/>
      <c r="F12" s="430"/>
      <c r="G12" s="430"/>
      <c r="H12" s="430"/>
      <c r="I12" s="430"/>
      <c r="J12" s="430"/>
      <c r="K12" s="430"/>
      <c r="L12" s="430"/>
    </row>
    <row r="13" spans="1:44" x14ac:dyDescent="0.25">
      <c r="A13" s="434" t="s">
        <v>4</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x14ac:dyDescent="0.25">
      <c r="A15" s="4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0"/>
      <c r="C15" s="430"/>
      <c r="D15" s="430"/>
      <c r="E15" s="430"/>
      <c r="F15" s="430"/>
      <c r="G15" s="430"/>
      <c r="H15" s="430"/>
      <c r="I15" s="430"/>
      <c r="J15" s="430"/>
      <c r="K15" s="430"/>
      <c r="L15" s="430"/>
    </row>
    <row r="16" spans="1:44" x14ac:dyDescent="0.25">
      <c r="A16" s="434" t="s">
        <v>3</v>
      </c>
      <c r="B16" s="434"/>
      <c r="C16" s="434"/>
      <c r="D16" s="434"/>
      <c r="E16" s="434"/>
      <c r="F16" s="434"/>
      <c r="G16" s="434"/>
      <c r="H16" s="434"/>
      <c r="I16" s="434"/>
      <c r="J16" s="434"/>
      <c r="K16" s="434"/>
      <c r="L16" s="434"/>
    </row>
    <row r="17" spans="1:12" ht="15.75" customHeight="1" x14ac:dyDescent="0.25">
      <c r="L17" s="65"/>
    </row>
    <row r="18" spans="1:12" x14ac:dyDescent="0.25">
      <c r="K18" s="64"/>
    </row>
    <row r="19" spans="1:12" ht="15.75" customHeight="1" x14ac:dyDescent="0.25">
      <c r="A19" s="506" t="s">
        <v>445</v>
      </c>
      <c r="B19" s="506"/>
      <c r="C19" s="506"/>
      <c r="D19" s="506"/>
      <c r="E19" s="506"/>
      <c r="F19" s="506"/>
      <c r="G19" s="506"/>
      <c r="H19" s="506"/>
      <c r="I19" s="506"/>
      <c r="J19" s="506"/>
      <c r="K19" s="506"/>
      <c r="L19" s="506"/>
    </row>
    <row r="20" spans="1:12" x14ac:dyDescent="0.25">
      <c r="A20" s="52"/>
      <c r="B20" s="52"/>
      <c r="C20" s="63"/>
      <c r="D20" s="63"/>
      <c r="E20" s="63"/>
      <c r="F20" s="63"/>
      <c r="G20" s="63"/>
      <c r="H20" s="63"/>
      <c r="I20" s="63"/>
      <c r="J20" s="63"/>
      <c r="K20" s="63"/>
      <c r="L20" s="63"/>
    </row>
    <row r="21" spans="1:12" s="311" customFormat="1" ht="15" customHeight="1" x14ac:dyDescent="0.25">
      <c r="A21" s="496" t="s">
        <v>217</v>
      </c>
      <c r="B21" s="496" t="s">
        <v>216</v>
      </c>
      <c r="C21" s="502" t="s">
        <v>377</v>
      </c>
      <c r="D21" s="502"/>
      <c r="E21" s="502"/>
      <c r="F21" s="502"/>
      <c r="G21" s="502"/>
      <c r="H21" s="502"/>
      <c r="I21" s="497" t="s">
        <v>215</v>
      </c>
      <c r="J21" s="499" t="s">
        <v>379</v>
      </c>
      <c r="K21" s="496" t="s">
        <v>214</v>
      </c>
      <c r="L21" s="498" t="s">
        <v>378</v>
      </c>
    </row>
    <row r="22" spans="1:12" s="311" customFormat="1" ht="36.75" customHeight="1" x14ac:dyDescent="0.25">
      <c r="A22" s="496"/>
      <c r="B22" s="496"/>
      <c r="C22" s="503" t="s">
        <v>1</v>
      </c>
      <c r="D22" s="503"/>
      <c r="E22" s="503" t="s">
        <v>8</v>
      </c>
      <c r="F22" s="503"/>
      <c r="G22" s="504" t="s">
        <v>525</v>
      </c>
      <c r="H22" s="505"/>
      <c r="I22" s="497"/>
      <c r="J22" s="500"/>
      <c r="K22" s="496"/>
      <c r="L22" s="498"/>
    </row>
    <row r="23" spans="1:12" s="311" customFormat="1" ht="31.5" x14ac:dyDescent="0.25">
      <c r="A23" s="496"/>
      <c r="B23" s="496"/>
      <c r="C23" s="312" t="s">
        <v>213</v>
      </c>
      <c r="D23" s="312" t="s">
        <v>212</v>
      </c>
      <c r="E23" s="312" t="s">
        <v>213</v>
      </c>
      <c r="F23" s="312" t="s">
        <v>212</v>
      </c>
      <c r="G23" s="312" t="s">
        <v>213</v>
      </c>
      <c r="H23" s="312" t="s">
        <v>212</v>
      </c>
      <c r="I23" s="497"/>
      <c r="J23" s="501"/>
      <c r="K23" s="496"/>
      <c r="L23" s="498"/>
    </row>
    <row r="24" spans="1:12" s="311" customFormat="1" x14ac:dyDescent="0.25">
      <c r="A24" s="313">
        <v>1</v>
      </c>
      <c r="B24" s="313">
        <v>2</v>
      </c>
      <c r="C24" s="312">
        <v>3</v>
      </c>
      <c r="D24" s="312">
        <v>4</v>
      </c>
      <c r="E24" s="312">
        <v>5</v>
      </c>
      <c r="F24" s="312">
        <v>6</v>
      </c>
      <c r="G24" s="312">
        <v>7</v>
      </c>
      <c r="H24" s="312">
        <v>8</v>
      </c>
      <c r="I24" s="312">
        <v>9</v>
      </c>
      <c r="J24" s="312">
        <v>10</v>
      </c>
      <c r="K24" s="312">
        <v>11</v>
      </c>
      <c r="L24" s="312">
        <v>12</v>
      </c>
    </row>
    <row r="25" spans="1:12" s="311" customFormat="1" x14ac:dyDescent="0.25">
      <c r="A25" s="312">
        <v>1</v>
      </c>
      <c r="B25" s="314" t="s">
        <v>211</v>
      </c>
      <c r="C25" s="315"/>
      <c r="D25" s="315"/>
      <c r="E25" s="315"/>
      <c r="F25" s="315"/>
      <c r="G25" s="315"/>
      <c r="H25" s="315"/>
      <c r="I25" s="315"/>
      <c r="J25" s="316"/>
      <c r="K25" s="317"/>
      <c r="L25" s="318"/>
    </row>
    <row r="26" spans="1:12" s="311" customFormat="1" x14ac:dyDescent="0.25">
      <c r="A26" s="312" t="s">
        <v>210</v>
      </c>
      <c r="B26" s="319" t="s">
        <v>384</v>
      </c>
      <c r="C26" s="399" t="s">
        <v>479</v>
      </c>
      <c r="D26" s="399" t="s">
        <v>479</v>
      </c>
      <c r="E26" s="399" t="s">
        <v>479</v>
      </c>
      <c r="F26" s="399" t="s">
        <v>479</v>
      </c>
      <c r="G26" s="399" t="s">
        <v>479</v>
      </c>
      <c r="H26" s="399" t="s">
        <v>479</v>
      </c>
      <c r="I26" s="400"/>
      <c r="J26" s="316"/>
      <c r="K26" s="317"/>
      <c r="L26" s="317"/>
    </row>
    <row r="27" spans="1:12" s="311" customFormat="1" ht="31.5" x14ac:dyDescent="0.25">
      <c r="A27" s="312" t="s">
        <v>209</v>
      </c>
      <c r="B27" s="319" t="s">
        <v>386</v>
      </c>
      <c r="C27" s="399" t="s">
        <v>479</v>
      </c>
      <c r="D27" s="399" t="s">
        <v>479</v>
      </c>
      <c r="E27" s="399" t="s">
        <v>479</v>
      </c>
      <c r="F27" s="399" t="s">
        <v>479</v>
      </c>
      <c r="G27" s="399" t="s">
        <v>479</v>
      </c>
      <c r="H27" s="399" t="s">
        <v>479</v>
      </c>
      <c r="I27" s="400"/>
      <c r="J27" s="316"/>
      <c r="K27" s="317"/>
      <c r="L27" s="317"/>
    </row>
    <row r="28" spans="1:12" s="311" customFormat="1" ht="63" x14ac:dyDescent="0.25">
      <c r="A28" s="312" t="s">
        <v>385</v>
      </c>
      <c r="B28" s="319" t="s">
        <v>390</v>
      </c>
      <c r="C28" s="399" t="s">
        <v>479</v>
      </c>
      <c r="D28" s="399" t="s">
        <v>479</v>
      </c>
      <c r="E28" s="399" t="s">
        <v>479</v>
      </c>
      <c r="F28" s="399" t="s">
        <v>479</v>
      </c>
      <c r="G28" s="399" t="s">
        <v>479</v>
      </c>
      <c r="H28" s="399" t="s">
        <v>479</v>
      </c>
      <c r="I28" s="400"/>
      <c r="J28" s="316"/>
      <c r="K28" s="317"/>
      <c r="L28" s="317"/>
    </row>
    <row r="29" spans="1:12" s="311" customFormat="1" ht="31.5" x14ac:dyDescent="0.25">
      <c r="A29" s="312" t="s">
        <v>208</v>
      </c>
      <c r="B29" s="319" t="s">
        <v>389</v>
      </c>
      <c r="C29" s="399" t="s">
        <v>479</v>
      </c>
      <c r="D29" s="399" t="s">
        <v>479</v>
      </c>
      <c r="E29" s="399" t="s">
        <v>479</v>
      </c>
      <c r="F29" s="399" t="s">
        <v>479</v>
      </c>
      <c r="G29" s="399" t="s">
        <v>479</v>
      </c>
      <c r="H29" s="399" t="s">
        <v>479</v>
      </c>
      <c r="I29" s="400"/>
      <c r="J29" s="316"/>
      <c r="K29" s="317"/>
      <c r="L29" s="317"/>
    </row>
    <row r="30" spans="1:12" s="311" customFormat="1" ht="31.5" x14ac:dyDescent="0.25">
      <c r="A30" s="312" t="s">
        <v>207</v>
      </c>
      <c r="B30" s="319" t="s">
        <v>391</v>
      </c>
      <c r="C30" s="399" t="s">
        <v>479</v>
      </c>
      <c r="D30" s="399" t="s">
        <v>479</v>
      </c>
      <c r="E30" s="399" t="s">
        <v>479</v>
      </c>
      <c r="F30" s="399" t="s">
        <v>479</v>
      </c>
      <c r="G30" s="399" t="s">
        <v>479</v>
      </c>
      <c r="H30" s="399" t="s">
        <v>479</v>
      </c>
      <c r="I30" s="400"/>
      <c r="J30" s="316"/>
      <c r="K30" s="317"/>
      <c r="L30" s="317"/>
    </row>
    <row r="31" spans="1:12" s="311" customFormat="1" ht="31.5" x14ac:dyDescent="0.25">
      <c r="A31" s="312" t="s">
        <v>206</v>
      </c>
      <c r="B31" s="320" t="s">
        <v>387</v>
      </c>
      <c r="C31" s="401">
        <v>45450</v>
      </c>
      <c r="D31" s="401">
        <v>45450</v>
      </c>
      <c r="E31" s="401">
        <v>45450</v>
      </c>
      <c r="F31" s="401">
        <v>45450</v>
      </c>
      <c r="G31" s="401">
        <v>45450</v>
      </c>
      <c r="H31" s="401">
        <v>45450</v>
      </c>
      <c r="I31" s="402">
        <v>100</v>
      </c>
      <c r="J31" s="316"/>
      <c r="K31" s="317"/>
      <c r="L31" s="317"/>
    </row>
    <row r="32" spans="1:12" s="311" customFormat="1" ht="31.5" x14ac:dyDescent="0.25">
      <c r="A32" s="312" t="s">
        <v>204</v>
      </c>
      <c r="B32" s="320" t="s">
        <v>392</v>
      </c>
      <c r="C32" s="399">
        <v>45570</v>
      </c>
      <c r="D32" s="399">
        <v>45570</v>
      </c>
      <c r="E32" s="415">
        <v>45644</v>
      </c>
      <c r="F32" s="415">
        <v>45644</v>
      </c>
      <c r="G32" s="399">
        <v>45570</v>
      </c>
      <c r="H32" s="399">
        <v>45570</v>
      </c>
      <c r="I32" s="402">
        <v>100</v>
      </c>
      <c r="J32" s="402">
        <v>100</v>
      </c>
      <c r="K32" s="317"/>
      <c r="L32" s="317"/>
    </row>
    <row r="33" spans="1:12" s="311" customFormat="1" ht="47.25" x14ac:dyDescent="0.25">
      <c r="A33" s="312" t="s">
        <v>403</v>
      </c>
      <c r="B33" s="320" t="s">
        <v>319</v>
      </c>
      <c r="C33" s="399" t="s">
        <v>479</v>
      </c>
      <c r="D33" s="399" t="s">
        <v>479</v>
      </c>
      <c r="E33" s="415" t="s">
        <v>479</v>
      </c>
      <c r="F33" s="415" t="s">
        <v>479</v>
      </c>
      <c r="G33" s="399" t="s">
        <v>479</v>
      </c>
      <c r="H33" s="399" t="s">
        <v>479</v>
      </c>
      <c r="I33" s="400"/>
      <c r="J33" s="316"/>
      <c r="K33" s="317"/>
      <c r="L33" s="317"/>
    </row>
    <row r="34" spans="1:12" s="311" customFormat="1" ht="63" x14ac:dyDescent="0.25">
      <c r="A34" s="312" t="s">
        <v>404</v>
      </c>
      <c r="B34" s="320" t="s">
        <v>396</v>
      </c>
      <c r="C34" s="399" t="s">
        <v>479</v>
      </c>
      <c r="D34" s="399" t="s">
        <v>479</v>
      </c>
      <c r="E34" s="415" t="s">
        <v>479</v>
      </c>
      <c r="F34" s="415" t="s">
        <v>479</v>
      </c>
      <c r="G34" s="399" t="s">
        <v>479</v>
      </c>
      <c r="H34" s="399" t="s">
        <v>479</v>
      </c>
      <c r="I34" s="400"/>
      <c r="J34" s="321"/>
      <c r="K34" s="321"/>
      <c r="L34" s="317"/>
    </row>
    <row r="35" spans="1:12" s="311" customFormat="1" ht="31.5" x14ac:dyDescent="0.25">
      <c r="A35" s="312" t="s">
        <v>405</v>
      </c>
      <c r="B35" s="320" t="s">
        <v>205</v>
      </c>
      <c r="C35" s="399">
        <v>45570</v>
      </c>
      <c r="D35" s="399">
        <v>45657</v>
      </c>
      <c r="E35" s="415"/>
      <c r="F35" s="415"/>
      <c r="G35" s="399">
        <v>45570</v>
      </c>
      <c r="H35" s="399">
        <v>45657</v>
      </c>
      <c r="I35" s="400"/>
      <c r="J35" s="321"/>
      <c r="K35" s="321"/>
      <c r="L35" s="317"/>
    </row>
    <row r="36" spans="1:12" s="311" customFormat="1" ht="31.5" x14ac:dyDescent="0.25">
      <c r="A36" s="312" t="s">
        <v>406</v>
      </c>
      <c r="B36" s="320" t="s">
        <v>388</v>
      </c>
      <c r="C36" s="399" t="s">
        <v>479</v>
      </c>
      <c r="D36" s="399" t="s">
        <v>479</v>
      </c>
      <c r="E36" s="415" t="s">
        <v>479</v>
      </c>
      <c r="F36" s="415" t="s">
        <v>479</v>
      </c>
      <c r="G36" s="399" t="s">
        <v>479</v>
      </c>
      <c r="H36" s="399" t="s">
        <v>479</v>
      </c>
      <c r="I36" s="400"/>
      <c r="J36" s="322"/>
      <c r="K36" s="317"/>
      <c r="L36" s="317"/>
    </row>
    <row r="37" spans="1:12" s="311" customFormat="1" x14ac:dyDescent="0.25">
      <c r="A37" s="312" t="s">
        <v>407</v>
      </c>
      <c r="B37" s="320" t="s">
        <v>203</v>
      </c>
      <c r="C37" s="399">
        <v>45570</v>
      </c>
      <c r="D37" s="399">
        <v>45570</v>
      </c>
      <c r="E37" s="415">
        <v>45644</v>
      </c>
      <c r="F37" s="415">
        <v>45644</v>
      </c>
      <c r="G37" s="399">
        <v>45570</v>
      </c>
      <c r="H37" s="399">
        <v>45570</v>
      </c>
      <c r="I37" s="402">
        <v>100</v>
      </c>
      <c r="J37" s="402">
        <v>100</v>
      </c>
      <c r="K37" s="317"/>
      <c r="L37" s="317"/>
    </row>
    <row r="38" spans="1:12" s="311" customFormat="1" x14ac:dyDescent="0.25">
      <c r="A38" s="312" t="s">
        <v>408</v>
      </c>
      <c r="B38" s="314" t="s">
        <v>202</v>
      </c>
      <c r="C38" s="362"/>
      <c r="D38" s="363"/>
      <c r="E38" s="317"/>
      <c r="F38" s="317"/>
      <c r="G38" s="362"/>
      <c r="H38" s="363"/>
      <c r="I38" s="322"/>
      <c r="J38" s="317"/>
      <c r="K38" s="317"/>
      <c r="L38" s="317"/>
    </row>
    <row r="39" spans="1:12" s="311" customFormat="1" ht="63" x14ac:dyDescent="0.25">
      <c r="A39" s="312">
        <v>2</v>
      </c>
      <c r="B39" s="320" t="s">
        <v>393</v>
      </c>
      <c r="C39" s="361">
        <v>45658</v>
      </c>
      <c r="D39" s="361">
        <v>45746</v>
      </c>
      <c r="E39" s="317"/>
      <c r="F39" s="317"/>
      <c r="G39" s="361">
        <v>45658</v>
      </c>
      <c r="H39" s="361">
        <v>45746</v>
      </c>
      <c r="I39" s="317"/>
      <c r="J39" s="317"/>
      <c r="K39" s="317"/>
      <c r="L39" s="317"/>
    </row>
    <row r="40" spans="1:12" s="311" customFormat="1" x14ac:dyDescent="0.25">
      <c r="A40" s="312" t="s">
        <v>201</v>
      </c>
      <c r="B40" s="320" t="s">
        <v>395</v>
      </c>
      <c r="C40" s="361" t="s">
        <v>479</v>
      </c>
      <c r="D40" s="361" t="s">
        <v>479</v>
      </c>
      <c r="E40" s="317"/>
      <c r="F40" s="317"/>
      <c r="G40" s="361" t="s">
        <v>479</v>
      </c>
      <c r="H40" s="361" t="s">
        <v>479</v>
      </c>
      <c r="I40" s="315"/>
      <c r="J40" s="317"/>
      <c r="K40" s="317"/>
      <c r="L40" s="317"/>
    </row>
    <row r="41" spans="1:12" s="311" customFormat="1" ht="47.25" x14ac:dyDescent="0.25">
      <c r="A41" s="312" t="s">
        <v>200</v>
      </c>
      <c r="B41" s="314" t="s">
        <v>476</v>
      </c>
      <c r="C41" s="361"/>
      <c r="D41" s="361"/>
      <c r="E41" s="317"/>
      <c r="F41" s="317"/>
      <c r="G41" s="361"/>
      <c r="H41" s="361"/>
      <c r="I41" s="317"/>
      <c r="J41" s="317"/>
      <c r="K41" s="317"/>
      <c r="L41" s="317"/>
    </row>
    <row r="42" spans="1:12" s="311" customFormat="1" ht="31.5" x14ac:dyDescent="0.25">
      <c r="A42" s="312">
        <v>3</v>
      </c>
      <c r="B42" s="320" t="s">
        <v>394</v>
      </c>
      <c r="C42" s="361" t="s">
        <v>479</v>
      </c>
      <c r="D42" s="361" t="s">
        <v>479</v>
      </c>
      <c r="E42" s="317"/>
      <c r="F42" s="317"/>
      <c r="G42" s="361" t="s">
        <v>479</v>
      </c>
      <c r="H42" s="361" t="s">
        <v>479</v>
      </c>
      <c r="I42" s="317"/>
      <c r="J42" s="317"/>
      <c r="K42" s="317"/>
      <c r="L42" s="317"/>
    </row>
    <row r="43" spans="1:12" s="311" customFormat="1" x14ac:dyDescent="0.25">
      <c r="A43" s="312" t="s">
        <v>199</v>
      </c>
      <c r="B43" s="320" t="s">
        <v>197</v>
      </c>
      <c r="C43" s="361" t="s">
        <v>479</v>
      </c>
      <c r="D43" s="361" t="s">
        <v>479</v>
      </c>
      <c r="E43" s="317"/>
      <c r="F43" s="317"/>
      <c r="G43" s="361" t="s">
        <v>479</v>
      </c>
      <c r="H43" s="361" t="s">
        <v>479</v>
      </c>
      <c r="I43" s="315"/>
      <c r="J43" s="317"/>
      <c r="K43" s="317"/>
      <c r="L43" s="317"/>
    </row>
    <row r="44" spans="1:12" s="311" customFormat="1" x14ac:dyDescent="0.25">
      <c r="A44" s="312" t="s">
        <v>198</v>
      </c>
      <c r="B44" s="320" t="s">
        <v>195</v>
      </c>
      <c r="C44" s="361">
        <v>45748</v>
      </c>
      <c r="D44" s="361">
        <v>45930</v>
      </c>
      <c r="E44" s="317"/>
      <c r="F44" s="317"/>
      <c r="G44" s="361">
        <v>45748</v>
      </c>
      <c r="H44" s="361">
        <v>45930</v>
      </c>
      <c r="I44" s="315"/>
      <c r="J44" s="317"/>
      <c r="K44" s="317"/>
      <c r="L44" s="317"/>
    </row>
    <row r="45" spans="1:12" s="311" customFormat="1" ht="78.75" x14ac:dyDescent="0.25">
      <c r="A45" s="312" t="s">
        <v>196</v>
      </c>
      <c r="B45" s="320" t="s">
        <v>399</v>
      </c>
      <c r="C45" s="361" t="s">
        <v>479</v>
      </c>
      <c r="D45" s="361" t="s">
        <v>479</v>
      </c>
      <c r="E45" s="317"/>
      <c r="F45" s="317"/>
      <c r="G45" s="361" t="s">
        <v>479</v>
      </c>
      <c r="H45" s="361" t="s">
        <v>479</v>
      </c>
      <c r="I45" s="315"/>
      <c r="J45" s="317"/>
      <c r="K45" s="317"/>
      <c r="L45" s="317"/>
    </row>
    <row r="46" spans="1:12" s="311" customFormat="1" ht="157.5" x14ac:dyDescent="0.25">
      <c r="A46" s="312" t="s">
        <v>194</v>
      </c>
      <c r="B46" s="320" t="s">
        <v>397</v>
      </c>
      <c r="C46" s="361" t="s">
        <v>479</v>
      </c>
      <c r="D46" s="361" t="s">
        <v>479</v>
      </c>
      <c r="E46" s="317"/>
      <c r="F46" s="317"/>
      <c r="G46" s="361" t="s">
        <v>479</v>
      </c>
      <c r="H46" s="361" t="s">
        <v>479</v>
      </c>
      <c r="I46" s="315"/>
      <c r="J46" s="317"/>
      <c r="K46" s="317"/>
      <c r="L46" s="317"/>
    </row>
    <row r="47" spans="1:12" s="311" customFormat="1" x14ac:dyDescent="0.25">
      <c r="A47" s="312" t="s">
        <v>192</v>
      </c>
      <c r="B47" s="320" t="s">
        <v>193</v>
      </c>
      <c r="C47" s="361">
        <v>45931</v>
      </c>
      <c r="D47" s="361">
        <v>46022</v>
      </c>
      <c r="E47" s="317"/>
      <c r="F47" s="317"/>
      <c r="G47" s="361">
        <v>45931</v>
      </c>
      <c r="H47" s="361">
        <v>46022</v>
      </c>
      <c r="I47" s="317"/>
      <c r="J47" s="317"/>
      <c r="K47" s="317"/>
      <c r="L47" s="317"/>
    </row>
    <row r="48" spans="1:12" s="311" customFormat="1" ht="31.5" x14ac:dyDescent="0.25">
      <c r="A48" s="312" t="s">
        <v>409</v>
      </c>
      <c r="B48" s="314" t="s">
        <v>191</v>
      </c>
      <c r="C48" s="361"/>
      <c r="D48" s="361"/>
      <c r="E48" s="317"/>
      <c r="F48" s="317"/>
      <c r="G48" s="361"/>
      <c r="H48" s="361"/>
      <c r="I48" s="317"/>
      <c r="J48" s="317"/>
      <c r="K48" s="317"/>
      <c r="L48" s="317"/>
    </row>
    <row r="49" spans="1:12" s="311" customFormat="1" ht="31.5" x14ac:dyDescent="0.25">
      <c r="A49" s="312">
        <v>4</v>
      </c>
      <c r="B49" s="320" t="s">
        <v>189</v>
      </c>
      <c r="C49" s="361">
        <v>45931</v>
      </c>
      <c r="D49" s="361">
        <v>46022</v>
      </c>
      <c r="E49" s="317"/>
      <c r="F49" s="317"/>
      <c r="G49" s="361">
        <v>45931</v>
      </c>
      <c r="H49" s="361">
        <v>46022</v>
      </c>
      <c r="I49" s="317"/>
      <c r="J49" s="317"/>
      <c r="K49" s="317"/>
      <c r="L49" s="317"/>
    </row>
    <row r="50" spans="1:12" s="311" customFormat="1" ht="78.75" x14ac:dyDescent="0.25">
      <c r="A50" s="312" t="s">
        <v>190</v>
      </c>
      <c r="B50" s="320" t="s">
        <v>398</v>
      </c>
      <c r="C50" s="361">
        <v>45931</v>
      </c>
      <c r="D50" s="361">
        <v>46022</v>
      </c>
      <c r="E50" s="317"/>
      <c r="F50" s="317"/>
      <c r="G50" s="361">
        <v>45931</v>
      </c>
      <c r="H50" s="361">
        <v>46022</v>
      </c>
      <c r="I50" s="315"/>
      <c r="J50" s="317"/>
      <c r="K50" s="317"/>
      <c r="L50" s="317"/>
    </row>
    <row r="51" spans="1:12" s="311" customFormat="1" ht="63" x14ac:dyDescent="0.25">
      <c r="A51" s="312" t="s">
        <v>188</v>
      </c>
      <c r="B51" s="320" t="s">
        <v>400</v>
      </c>
      <c r="C51" s="361" t="s">
        <v>479</v>
      </c>
      <c r="D51" s="361" t="s">
        <v>479</v>
      </c>
      <c r="E51" s="317"/>
      <c r="F51" s="317"/>
      <c r="G51" s="361" t="s">
        <v>479</v>
      </c>
      <c r="H51" s="361" t="s">
        <v>479</v>
      </c>
      <c r="I51" s="317"/>
      <c r="J51" s="317"/>
      <c r="K51" s="317"/>
      <c r="L51" s="317"/>
    </row>
    <row r="52" spans="1:12" s="311" customFormat="1" ht="63" x14ac:dyDescent="0.25">
      <c r="A52" s="312" t="s">
        <v>186</v>
      </c>
      <c r="B52" s="320" t="s">
        <v>187</v>
      </c>
      <c r="C52" s="361" t="s">
        <v>479</v>
      </c>
      <c r="D52" s="361" t="s">
        <v>479</v>
      </c>
      <c r="E52" s="317"/>
      <c r="F52" s="317"/>
      <c r="G52" s="361" t="s">
        <v>479</v>
      </c>
      <c r="H52" s="361" t="s">
        <v>479</v>
      </c>
      <c r="I52" s="315"/>
      <c r="J52" s="317"/>
      <c r="K52" s="317"/>
      <c r="L52" s="317"/>
    </row>
    <row r="53" spans="1:12" s="311" customFormat="1" ht="31.5" x14ac:dyDescent="0.25">
      <c r="A53" s="312" t="s">
        <v>184</v>
      </c>
      <c r="B53" s="106" t="s">
        <v>401</v>
      </c>
      <c r="C53" s="361">
        <v>45931</v>
      </c>
      <c r="D53" s="361">
        <v>46022</v>
      </c>
      <c r="E53" s="317"/>
      <c r="F53" s="317"/>
      <c r="G53" s="361">
        <v>45931</v>
      </c>
      <c r="H53" s="361">
        <v>46022</v>
      </c>
      <c r="I53" s="317"/>
      <c r="J53" s="317"/>
      <c r="K53" s="317"/>
      <c r="L53" s="317"/>
    </row>
    <row r="54" spans="1:12" s="311" customFormat="1" ht="31.5" x14ac:dyDescent="0.25">
      <c r="A54" s="312" t="s">
        <v>402</v>
      </c>
      <c r="B54" s="320" t="s">
        <v>185</v>
      </c>
      <c r="C54" s="361" t="s">
        <v>479</v>
      </c>
      <c r="D54" s="361" t="s">
        <v>479</v>
      </c>
      <c r="E54" s="317"/>
      <c r="F54" s="317"/>
      <c r="G54" s="361" t="s">
        <v>479</v>
      </c>
      <c r="H54" s="361" t="s">
        <v>479</v>
      </c>
      <c r="I54" s="317"/>
      <c r="J54" s="317"/>
      <c r="K54" s="317"/>
      <c r="L54" s="31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2024-03-29T12:05:50Z</cp:lastPrinted>
  <dcterms:created xsi:type="dcterms:W3CDTF">2015-08-16T15:31:05Z</dcterms:created>
  <dcterms:modified xsi:type="dcterms:W3CDTF">2025-04-28T08:47:19Z</dcterms:modified>
</cp:coreProperties>
</file>